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firstSheet="2" activeTab="4"/>
  </bookViews>
  <sheets>
    <sheet name="SAŽETAK" sheetId="1" r:id="rId1"/>
    <sheet name="Prihodi po ek.klas i izvorima" sheetId="2" r:id="rId2"/>
    <sheet name="Prihodi po ekonomskoj klas" sheetId="3" r:id="rId3"/>
    <sheet name="RASHODI ek.kl." sheetId="4" r:id="rId4"/>
    <sheet name="RASHODI - ek.kl. i izvori" sheetId="5" r:id="rId5"/>
    <sheet name="RASHODI - funkcija" sheetId="6" r:id="rId6"/>
    <sheet name="RAČUN FINANCIRANJA" sheetId="7" r:id="rId7"/>
    <sheet name="REKAPITULACIJA - Posebni dio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<sst xmlns="http://schemas.openxmlformats.org/spreadsheetml/2006/main" count="1989" uniqueCount="442">
  <si>
    <t>GODIŠNJI IZVJEŠTAJ O IZVRŠENJU FINANCIJSKOG PLANA DOMA ZDRAVLJA VINKOVCI - PRORAČUNSKOG KORISNIKA JEDINICE LOKALNE I PODRUČNE (REGIONALNE) SAMOUPRAVE 2023.</t>
  </si>
  <si>
    <t>I. OPĆI DIO</t>
  </si>
  <si>
    <t>SAŽETAK  RAČUNA PRIHODA I RASHODA I  RAČUNA FINANCIRANJA</t>
  </si>
  <si>
    <t>SAŽETAK  RAČUNA PRIHODA I RASHODA</t>
  </si>
  <si>
    <t>BROJČANA OZNAKA I NAZIV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</si>
  <si>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</si>
  <si>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</si>
  <si>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</si>
  <si>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</si>
  <si>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>INDEKS</t>
  </si>
  <si>
    <t>INDEKS**</t>
  </si>
  <si>
    <t>6=5/2*100</t>
  </si>
  <si>
    <t>7=5/4*100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</si>
  <si>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</si>
  <si>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</si>
  <si>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</si>
  <si>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</si>
  <si>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</si>
  <si>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</si>
  <si>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</si>
  <si>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</si>
  <si>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</si>
  <si>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</si>
  <si>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</si>
  <si>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</si>
  <si>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</si>
  <si>
    <t>SAŽETAK  RAČUNA PRIHODA I RASHODA I  RAČUNA FINANCIRANJA  može sadržavati i dodatne podatke.</t>
  </si>
  <si>
    <t>Napomena:  Iznosi u stupcu "OSTVARENJE/IZVRŠENJE 1.-12.2022." preračunavaju se iz kuna u eure prema fiksnom tečaju konverzije (1 EUR=7,53450 kuna) i po pravilima za preračunavanje i zaokruživanje.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</si>
  <si>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</si>
  <si>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</si>
  <si>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A. RAČUN PRIHODA</t>
  </si>
  <si>
    <t>IZVJEŠTAJ O PRIHODIMA PREMA EKONOMSKOJ KLASIFIKACIJI I IZVORIMA FINANCIRANJA</t>
  </si>
  <si>
    <t xml:space="preserve"> PRIHODI POSLOVANJA</t>
  </si>
  <si>
    <t>Razred</t>
  </si>
  <si>
    <t xml:space="preserve">Skupina/podskupina/odjeljak </t>
  </si>
  <si>
    <t>Izvor</t>
  </si>
  <si>
    <t xml:space="preserve">Naziv </t>
  </si>
  <si>
    <t>Izvršenje prethodne godine I.-XII.2022.</t>
  </si>
  <si>
    <t>IZVORNI PLAN ILI REBALANS</t>
  </si>
  <si>
    <t>TEKUĆI PLAN</t>
  </si>
  <si>
    <t xml:space="preserve">Izvršenje tekuće godine I.-XII.2023. </t>
  </si>
  <si>
    <t>Indeks</t>
  </si>
  <si>
    <t>5=4/2*100</t>
  </si>
  <si>
    <t>6=4/3*100</t>
  </si>
  <si>
    <t xml:space="preserve">Prihodi poslovanja 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</si>
  <si>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</si>
  <si>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</si>
  <si>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</si>
  <si>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</si>
  <si>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</si>
  <si>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</si>
  <si>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</si>
  <si>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</si>
  <si>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</si>
  <si>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</si>
  <si>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 xml:space="preserve">Tekuće pomoći od izvanproračunskih korisnika </t>
  </si>
  <si>
    <t>636</t>
  </si>
  <si>
    <t>Pomoći proračunskim korisnicima iz proračuna koji im nije nadležan</t>
  </si>
  <si>
    <t>6361</t>
  </si>
  <si>
    <t>Tekuće pomoći iz državnog proračuna proračunskim korisnicma JLP(R)S</t>
  </si>
  <si>
    <t>638</t>
  </si>
  <si>
    <t>Pomoć temeljem prijenosa EU sredstava</t>
  </si>
  <si>
    <t>6381</t>
  </si>
  <si>
    <t>Tekuće pomoći temeljem prijenosa EU sredstava</t>
  </si>
  <si>
    <t>6382</t>
  </si>
  <si>
    <t>Kapitalna pomoć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</si>
  <si>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</si>
  <si>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</si>
  <si>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</si>
  <si>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</si>
  <si>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Pomoći</t>
  </si>
  <si>
    <t>Prihodi od imovine</t>
  </si>
  <si>
    <t>Prihodi od financijske imovine</t>
  </si>
  <si>
    <t>Ostali prihodi od financijske imovine</t>
  </si>
  <si>
    <t>Prihodi od upravnih i administrativnih pristojbi, pristojbi po posebnim propisima i nakanda</t>
  </si>
  <si>
    <t>Prihodi po posebnim propisima</t>
  </si>
  <si>
    <t xml:space="preserve">Ostali nespomenuti prihodi </t>
  </si>
  <si>
    <t>Prihodi iz nadležnog proračuna i od HZZO-a temeljem ugovornih obveza</t>
  </si>
  <si>
    <t>673</t>
  </si>
  <si>
    <t>Prihodi od HZZO-a temeljem ugovora</t>
  </si>
  <si>
    <t>6731</t>
  </si>
  <si>
    <t>68</t>
  </si>
  <si>
    <t>Kazne, upravne mjere i ostali prihodi</t>
  </si>
  <si>
    <t>683</t>
  </si>
  <si>
    <t>Ostali prihodi</t>
  </si>
  <si>
    <t>6831</t>
  </si>
  <si>
    <t xml:space="preserve">Ostali prihodi za posebne namjene </t>
  </si>
  <si>
    <t>Kamate na oročena srredstva i depozite po viđenju</t>
  </si>
  <si>
    <t>Ostali prihodi od nefinancijske imovine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</si>
  <si>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</si>
  <si>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</si>
  <si>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</si>
  <si>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</si>
  <si>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 od prodaje proizvoda i usluga</t>
  </si>
  <si>
    <t>6615</t>
  </si>
  <si>
    <t>Prihodi od pruženih usluga</t>
  </si>
  <si>
    <t>31</t>
  </si>
  <si>
    <t xml:space="preserve"> Vlastiti prihodi </t>
  </si>
  <si>
    <t>Donacije od pravnih i fizičkih osoba izvan općeg proračuna i povrat donacija po protestiranim jamstvima</t>
  </si>
  <si>
    <t>Tekuće donacije</t>
  </si>
  <si>
    <t>6632</t>
  </si>
  <si>
    <t>Kapitalne donacije</t>
  </si>
  <si>
    <t>61</t>
  </si>
  <si>
    <t xml:space="preserve">Donacije </t>
  </si>
  <si>
    <t>Prihodi od prodaje nefinacijske imovine i naknade šteta</t>
  </si>
  <si>
    <t>Prihodi od  prodaje nefinancijske imovine</t>
  </si>
  <si>
    <t>Prihodi od prodaje proizvedene dugotrajne imovine</t>
  </si>
  <si>
    <t>Prihodi od prodaje građevinskih objekata</t>
  </si>
  <si>
    <t>Stambeni objekti</t>
  </si>
  <si>
    <t>Prihodi od prodaje prijevoznih sredstava</t>
  </si>
  <si>
    <t>Prijevozna sredstva u cestovnom prometu</t>
  </si>
  <si>
    <t>67</t>
  </si>
  <si>
    <t>Prihodi iz nadležnog proračuna za financiranje redovne djelatnosti proračunskog korisnika</t>
  </si>
  <si>
    <t>Prihodi od nadležnog proračuna za financiranje rashoda poslovanja</t>
  </si>
  <si>
    <t>Prihodi od nadležnog proračuna za financiranje rashoda za nabavu nefinancijske imovine</t>
  </si>
  <si>
    <t>Opći prihodi i primici</t>
  </si>
  <si>
    <t>Ukupni prihodi</t>
  </si>
  <si>
    <t>RASHODI POSLOVANJA</t>
  </si>
  <si>
    <t>Izvršenje prethodne godine I.-VI. 2022.</t>
  </si>
  <si>
    <t>IZVORNI PLAN</t>
  </si>
  <si>
    <t xml:space="preserve">Izvršenje tekuće godine I.-IX.2023. </t>
  </si>
  <si>
    <t>3</t>
  </si>
  <si>
    <t>Rashodi poslovanja</t>
  </si>
  <si>
    <t>Rashodi za zaposlene</t>
  </si>
  <si>
    <t>Plaće</t>
  </si>
  <si>
    <t>Plaće za redovan rad</t>
  </si>
  <si>
    <t>3112</t>
  </si>
  <si>
    <t>Plaće u naravi</t>
  </si>
  <si>
    <t>3113</t>
  </si>
  <si>
    <t>Plaće za prekovremeni rad</t>
  </si>
  <si>
    <t>3114</t>
  </si>
  <si>
    <t>Plaća za posebne uvjete rada</t>
  </si>
  <si>
    <t>312</t>
  </si>
  <si>
    <t>Ostali rashodi za zaposlene</t>
  </si>
  <si>
    <t>3121</t>
  </si>
  <si>
    <t>Doprinosi na plaće</t>
  </si>
  <si>
    <t>Doprinosi za obvezno zdravstveno osiguranje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</si>
  <si>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</si>
  <si>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</si>
  <si>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</si>
  <si>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</si>
  <si>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</si>
  <si>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</si>
  <si>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</si>
  <si>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zaposlenih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</si>
  <si>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</si>
  <si>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</si>
  <si>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</si>
  <si>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</si>
  <si>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</si>
  <si>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</si>
  <si>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</si>
  <si>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</si>
  <si>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</si>
  <si>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</si>
  <si>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</si>
  <si>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</si>
  <si>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</si>
  <si>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Sitan inventar i autogume</t>
  </si>
  <si>
    <t>3227</t>
  </si>
  <si>
    <t>Službena radna i zaštitna odjeća</t>
  </si>
  <si>
    <t>323</t>
  </si>
  <si>
    <t>Rashodi za usluge</t>
  </si>
  <si>
    <t>3231</t>
  </si>
  <si>
    <t>Usluge telefona i pošte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</si>
  <si>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</si>
  <si>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</si>
  <si>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</si>
  <si>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</si>
  <si>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</si>
  <si>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</si>
  <si>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Zakupnine i najamnine</t>
  </si>
  <si>
    <t>Zdravstvene i veterinarske usluge</t>
  </si>
  <si>
    <t>Intelektualne usluge</t>
  </si>
  <si>
    <t>3238</t>
  </si>
  <si>
    <t>Računalne usluge</t>
  </si>
  <si>
    <t>3239</t>
  </si>
  <si>
    <t>Ostale usluge</t>
  </si>
  <si>
    <t xml:space="preserve">Naknade troškova osobama izvan radnog odnosa </t>
  </si>
  <si>
    <t>Ostali nespomenuti rashodi poslovanja</t>
  </si>
  <si>
    <t>3291</t>
  </si>
  <si>
    <t>Naknade za rad predstavničkih i izvršnih tijela, povjerenstava i slično</t>
  </si>
  <si>
    <t>Premija osiguranja</t>
  </si>
  <si>
    <t>Reprezentacija</t>
  </si>
  <si>
    <t>Članarine i norme</t>
  </si>
  <si>
    <t>Pristojbe i naknade</t>
  </si>
  <si>
    <t>Troškovi sudskih postupaka</t>
  </si>
  <si>
    <t>3299</t>
  </si>
  <si>
    <t>Financijski rashodi</t>
  </si>
  <si>
    <t>Ostali financijski rashodi</t>
  </si>
  <si>
    <t>3431</t>
  </si>
  <si>
    <t>Bankarske usluge i usluge platnog prometa</t>
  </si>
  <si>
    <t>Zatezne kamate</t>
  </si>
  <si>
    <t>Ostali nespomenuti financijski rashodi</t>
  </si>
  <si>
    <t>Pomoći dane u iznozemstvo i unutar općeg proračuna</t>
  </si>
  <si>
    <t>Tekući prijenosi između proračunksih korisnika istog proračuna</t>
  </si>
  <si>
    <t>Kapitalni prijenosi između proračunksih korisnika istog proračuna</t>
  </si>
  <si>
    <t>Naknade građanima i kućanstvima na temelju osiguranja i dr nak</t>
  </si>
  <si>
    <t>Ostale naknade građanima i kućanstvima iz proračuna</t>
  </si>
  <si>
    <t>Naknade građanima i kućanstvima u novcu</t>
  </si>
  <si>
    <t>38</t>
  </si>
  <si>
    <t>381</t>
  </si>
  <si>
    <t>Tekuće donacije u novcu</t>
  </si>
  <si>
    <t>3811</t>
  </si>
  <si>
    <t>Kazne, penali i naknade štete</t>
  </si>
  <si>
    <t>Naknade štete pravnim i fizičkim osobama</t>
  </si>
  <si>
    <t>Naknada šteta zaposlenicima</t>
  </si>
  <si>
    <t>Ugovorne kazne i ostale naknade štete</t>
  </si>
  <si>
    <t>Ostale kazne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</si>
  <si>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</si>
  <si>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</si>
  <si>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</si>
  <si>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</si>
  <si>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</si>
  <si>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</si>
  <si>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Građevinsko zemljište</t>
  </si>
  <si>
    <t>Nematerijalna imovina - licence</t>
  </si>
  <si>
    <t>Licence</t>
  </si>
  <si>
    <t>Rashodi za nabavu proizvedene dug. imovine</t>
  </si>
  <si>
    <t>Postrojenja i oprema</t>
  </si>
  <si>
    <t>4221</t>
  </si>
  <si>
    <t>Uredska oprema i namještaj</t>
  </si>
  <si>
    <t>4222</t>
  </si>
  <si>
    <t>Komunikacijska oprema</t>
  </si>
  <si>
    <t>Oprema za održavanje iz zaštitu</t>
  </si>
  <si>
    <t>Medicinska i laboratorijska oprema</t>
  </si>
  <si>
    <t>Instrumenti, uređaji i strojevi</t>
  </si>
  <si>
    <t>Uređaji, strojevi i oprema za ostale namjene</t>
  </si>
  <si>
    <t>Prijevozna sredstva</t>
  </si>
  <si>
    <t xml:space="preserve">Nematerijalna proizvedena imovina </t>
  </si>
  <si>
    <t>Ulaganja u računalne programe</t>
  </si>
  <si>
    <t>45</t>
  </si>
  <si>
    <t>Rashodi za dodatna ulaganja na 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</si>
  <si>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</si>
  <si>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</si>
  <si>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</si>
  <si>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</si>
  <si>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</si>
  <si>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</si>
  <si>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Dodatna ulaganja na potrojenjima i opremi</t>
  </si>
  <si>
    <t>Negativne tečajne razlike</t>
  </si>
  <si>
    <t>421</t>
  </si>
  <si>
    <t>Građevinski objekti</t>
  </si>
  <si>
    <t>4212</t>
  </si>
  <si>
    <t>Poslovni objekti</t>
  </si>
  <si>
    <t xml:space="preserve">Vlastiti prihodi </t>
  </si>
  <si>
    <t>Plaće za posebne uvjete rada</t>
  </si>
  <si>
    <t>313</t>
  </si>
  <si>
    <t>3132</t>
  </si>
  <si>
    <t>Doprinosi za obvezno zdravstveno osiguranje zaštite zdr na radu</t>
  </si>
  <si>
    <t>321</t>
  </si>
  <si>
    <t>3235</t>
  </si>
  <si>
    <t>3236</t>
  </si>
  <si>
    <t>3237</t>
  </si>
  <si>
    <t>329</t>
  </si>
  <si>
    <t>Ostali rashodi poslovanja</t>
  </si>
  <si>
    <t>3293</t>
  </si>
  <si>
    <t>3295</t>
  </si>
  <si>
    <t>422</t>
  </si>
  <si>
    <t xml:space="preserve">Pomoći </t>
  </si>
  <si>
    <t>3131</t>
  </si>
  <si>
    <t>Doprinosi za mirovinsko osiguranje</t>
  </si>
  <si>
    <t>Pomoći EU</t>
  </si>
  <si>
    <t>4223</t>
  </si>
  <si>
    <t>4224</t>
  </si>
  <si>
    <t>4225</t>
  </si>
  <si>
    <t>3292</t>
  </si>
  <si>
    <t>426</t>
  </si>
  <si>
    <t>4262</t>
  </si>
  <si>
    <t>71</t>
  </si>
  <si>
    <t>Prihodi od nefinancijske imovine i nadoknade šteta s osnova osiguranja</t>
  </si>
  <si>
    <t>Ukupni rashodi</t>
  </si>
  <si>
    <t>Županija</t>
  </si>
  <si>
    <t xml:space="preserve">IZVJEŠTAJ O PRIHODIMA PREMA EKONOMSKOJ KLASIFIKACIJI </t>
  </si>
  <si>
    <t xml:space="preserve">Izvršenje prethodne godine I.-XII.2022. </t>
  </si>
  <si>
    <t xml:space="preserve">TEKUĆI PLAN </t>
  </si>
  <si>
    <t>SAVJET: PRVO POPUNITE PRETHODNI LIST</t>
  </si>
  <si>
    <t>Pomoći od međunaodnih organizacija te institucija i tijela EU</t>
  </si>
  <si>
    <t>Kapitalne pomoći od instucija i tijela EU</t>
  </si>
  <si>
    <t>Pomoć proračunu iz drugih proračuna</t>
  </si>
  <si>
    <t>OVA TABLICA AUTOMATSKI POVLAČI IZNOSE IZ PRETHODNOG LISTA (PRIHODI PO EK KLAS I IZVORIMA)</t>
  </si>
  <si>
    <t>Tekuća pomoć proračunu iz drugih proračuna</t>
  </si>
  <si>
    <t>UKOLIKO STE U PRVOM LISTU DODAVALI RAČUNE MORATI ĆETE I U OVOME LISTU NAPRAVITI IZMJENE U FORMULI RAČUNA NA KOJI SE IZMJENA ODNOSI</t>
  </si>
  <si>
    <t>Kapitalna pomoć proračunu iz drugih proračuna</t>
  </si>
  <si>
    <t>Pomoć proračunskim korisnicima iz prorač.koji im nije nadležan</t>
  </si>
  <si>
    <t>Tekuće pomoći iz državnog prorač. prorač.korisnicima JLP(R)S</t>
  </si>
  <si>
    <t>Pomoć temeljem prijenosa EU</t>
  </si>
  <si>
    <t>kapitalna pomoć temeljem prijenosa EU</t>
  </si>
  <si>
    <t>Prijenosi između proračunskih korisnika</t>
  </si>
  <si>
    <t>Tekući prijenosi između proračunskih korisnika</t>
  </si>
  <si>
    <t>Kamate na oročena sredstva i depozite po viđenju</t>
  </si>
  <si>
    <t>Ostali prihode o financijske imovine</t>
  </si>
  <si>
    <t>Ostali nespomenuti prihodi (participacija)</t>
  </si>
  <si>
    <t>Prihodi od prodaje i donacija</t>
  </si>
  <si>
    <t>Prihodi od prodaje roba i pruženih usluga (vlastiti prihodi)</t>
  </si>
  <si>
    <t>Prihodi od prodaje proizvoda i robe</t>
  </si>
  <si>
    <t>Donacije od pravnih i fizičkih osoba izvan proračuna</t>
  </si>
  <si>
    <t>Prihodi iz nadležnog proračuna i HZZOa</t>
  </si>
  <si>
    <t>Prihodi iz nadležog proračuna za financiranje rahoda poslovanja</t>
  </si>
  <si>
    <t>Prihodi iz nadležog proračuna za financiranje rahoda za nabavu nefin. Imovine</t>
  </si>
  <si>
    <t>Prihodi od HZZO-a</t>
  </si>
  <si>
    <t xml:space="preserve">     UKUPNO PRIHODI I PRIMICI:</t>
  </si>
  <si>
    <t>A. RAČUN PRIHODA I RASHODA</t>
  </si>
  <si>
    <t xml:space="preserve">IZVJEŠTAJ O RASHODIMA PREMA EKONOMSKOJ KLASIFIKACIJI </t>
  </si>
  <si>
    <t>REBALANS 2023.</t>
  </si>
  <si>
    <t xml:space="preserve">Izvršenje tekuće godine I.-VI. 2023 </t>
  </si>
  <si>
    <t>Tekuće pomoći od HZZ-a, HZZO-a</t>
  </si>
  <si>
    <t xml:space="preserve"> RASHODI POSLOVANJA</t>
  </si>
  <si>
    <t>Izvršenje tekuće godine I.-XII.2022.</t>
  </si>
  <si>
    <t>Izvršenje tekuće godine I.-XII.2023.</t>
  </si>
  <si>
    <t>6=5/4*100</t>
  </si>
  <si>
    <t>7=5/2*100</t>
  </si>
  <si>
    <t>Plaće (Bruto)</t>
  </si>
  <si>
    <t xml:space="preserve">Doprinosi na plaće </t>
  </si>
  <si>
    <t xml:space="preserve">Doprinosi za obavezno zdravst.osig. </t>
  </si>
  <si>
    <t>Doprinosi za obavezno osiguranje u slučaju nezaposlenosti</t>
  </si>
  <si>
    <t>Naknade za prijevoz</t>
  </si>
  <si>
    <t>Materijal i dijelovi za tekuće i invest. održavanja</t>
  </si>
  <si>
    <t>Usluge telefona, pošte</t>
  </si>
  <si>
    <t>Zakupninne i najamnine</t>
  </si>
  <si>
    <t>Naknade osobama izvan radnog odnosa</t>
  </si>
  <si>
    <t>Naknade tr.osobama izvan radnog odnosa</t>
  </si>
  <si>
    <t>Naknade za rad izvršnih tijela</t>
  </si>
  <si>
    <t>Financijski  rashodi</t>
  </si>
  <si>
    <t>Bankarske i usluge platnog prometa</t>
  </si>
  <si>
    <t xml:space="preserve">Ostali nespomenuti financijski rashodi </t>
  </si>
  <si>
    <t>Pomoći dane u inozemstvo i unutar općeg proračuna</t>
  </si>
  <si>
    <t>Tekući prijenosi između proračunskog korisnika istog proračuna</t>
  </si>
  <si>
    <t>Kapitalni prijenosi između proračunskih korisnika istog proračuna</t>
  </si>
  <si>
    <t xml:space="preserve">Ostali rashodi </t>
  </si>
  <si>
    <t>Naknada štete pravnim i fizičkim osobama</t>
  </si>
  <si>
    <t>Naknade šteta zaposlenicima</t>
  </si>
  <si>
    <t>Rashodi za nabavu neproizvedene dugotrajne  imovine</t>
  </si>
  <si>
    <t>Rashodi za nabavu proizvedene dugotrajne  imovine</t>
  </si>
  <si>
    <t>Oprema za održavanje i zaštitu</t>
  </si>
  <si>
    <t>Nematerijalna proizvedena imovina</t>
  </si>
  <si>
    <t>UKUPNI RAHODI I IZDACI:</t>
  </si>
  <si>
    <t>IZVJEŠTAJ O RASHODIMA PREMA EKONOMSKOJ KLASIFIKACIJI I IZVORIMA FINANCIRANJA</t>
  </si>
  <si>
    <t>3133</t>
  </si>
  <si>
    <t>Doprinosi za obvezno osiguranje u slučaju nezaposlenosti</t>
  </si>
  <si>
    <t xml:space="preserve">Doprinosi za obvezno zdravstveno osiguranje </t>
  </si>
  <si>
    <t>Stručno usavršavanje zaposlenika</t>
  </si>
  <si>
    <t>4227</t>
  </si>
  <si>
    <t>Sitni inventar i auto gume</t>
  </si>
  <si>
    <t>Intelektualne i osobne usluge</t>
  </si>
  <si>
    <t>42</t>
  </si>
  <si>
    <t>Rashodi za nabavu proizvedene dug.imovine</t>
  </si>
  <si>
    <t>11</t>
  </si>
  <si>
    <t>Ostale nespomenute usluge</t>
  </si>
  <si>
    <t>Uređaji strojevi i oprema za ostale namjene</t>
  </si>
  <si>
    <t>Materijal i dijalovi za tekuće i  investicijsko  održavanje</t>
  </si>
  <si>
    <t>3296</t>
  </si>
  <si>
    <t>93</t>
  </si>
  <si>
    <t>Višak iz prošlih godina</t>
  </si>
  <si>
    <t xml:space="preserve">A. RAČUN PRIHODA I RASHODA </t>
  </si>
  <si>
    <t>IZVJEŠTAJ O RASHODIMA PREMA FUNKCIJSKOJ KLASIFIKACIJI</t>
  </si>
  <si>
    <t xml:space="preserve">Izvršenje tekuće                 godine                              I.-XII.2022. </t>
  </si>
  <si>
    <t xml:space="preserve">Izvršenje tekuće godine                   I.-XII.2023. </t>
  </si>
  <si>
    <t xml:space="preserve">UKUPNO RASHODI </t>
  </si>
  <si>
    <t>07 Zdravstvo</t>
  </si>
  <si>
    <t>072 Služba za vanjske pacijente</t>
  </si>
  <si>
    <t>0721 Opće medicinske usluge</t>
  </si>
  <si>
    <t>0722 Specijalističke med. usluge</t>
  </si>
  <si>
    <t>0723 Zubarske usluge</t>
  </si>
  <si>
    <t>073 Bolničke službe</t>
  </si>
  <si>
    <t>0731 Usluge općih bolnica</t>
  </si>
  <si>
    <t>074 Službe javnog zdravstva</t>
  </si>
  <si>
    <t>B. RAČUN FINANCIRANJA - prema ekonomskoj klasifikaciji i prema izvorima financiranja</t>
  </si>
  <si>
    <t>Skupina</t>
  </si>
  <si>
    <t xml:space="preserve">Izvršenje tekuće godine              I.-XII.2022. </t>
  </si>
  <si>
    <t xml:space="preserve">Izvršenje tekuće godine              I.-XII.2023. 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</si>
  <si>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</si>
  <si>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</si>
  <si>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</si>
  <si>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</si>
  <si>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</si>
  <si>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</si>
  <si>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</si>
  <si>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</si>
  <si>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</si>
  <si>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</si>
  <si>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</si>
  <si>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</si>
  <si>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II. POSEBNI DIO</t>
  </si>
  <si>
    <t xml:space="preserve"> Rashodi i izdaci po izvorima financiranja i ekonomskoj klasifikaciji raspoređenih u programe, aktivnosti i projekte</t>
  </si>
  <si>
    <t>Šifra</t>
  </si>
  <si>
    <t>Naziv</t>
  </si>
  <si>
    <t xml:space="preserve">Izvršenje tekuće godine I.-XII.2022. </t>
  </si>
  <si>
    <t>Izvorni plan ili rebalans</t>
  </si>
  <si>
    <t>Tekući plan</t>
  </si>
  <si>
    <t>PROGRAM</t>
  </si>
  <si>
    <t>RAD I RAZVOJ USTANOVE</t>
  </si>
  <si>
    <t>AKTIVNOST</t>
  </si>
  <si>
    <t xml:space="preserve">Redovna djelatnost </t>
  </si>
  <si>
    <t>Doprinosi za obvezno mirovinsko osiguranje</t>
  </si>
  <si>
    <t>Intelktualne usluge</t>
  </si>
  <si>
    <t>Prijenosi između prorač kor istog proračuna</t>
  </si>
  <si>
    <t>Kapitalni prijenosi između proračunskih korinsika istog prorač</t>
  </si>
  <si>
    <t>Naknade građanima i kućanstvima na temelju osig i dr nak</t>
  </si>
  <si>
    <t>Naknade građanima i kućanstvima iz proračuna</t>
  </si>
  <si>
    <t>Naknade šteta pravnim i fizičkim osobama</t>
  </si>
  <si>
    <t>Materijal i dijelovi za tek i invest održavanje</t>
  </si>
  <si>
    <t>Zaštitna odjeća i obuća</t>
  </si>
  <si>
    <t>Naknade za rad predstavničkih i izvršenih tijela, povj i sl</t>
  </si>
  <si>
    <t>3294</t>
  </si>
  <si>
    <t>34</t>
  </si>
  <si>
    <t>343</t>
  </si>
  <si>
    <t>3432</t>
  </si>
  <si>
    <t>3433</t>
  </si>
  <si>
    <t>3434</t>
  </si>
  <si>
    <t>37</t>
  </si>
  <si>
    <t>372</t>
  </si>
  <si>
    <t>3721</t>
  </si>
  <si>
    <t>383</t>
  </si>
  <si>
    <t>3834</t>
  </si>
  <si>
    <t>Ugovorne naknade i ostale naknade</t>
  </si>
  <si>
    <t>3835</t>
  </si>
  <si>
    <t>384</t>
  </si>
  <si>
    <t>Rashodi iz proteklih godina</t>
  </si>
  <si>
    <t>3842</t>
  </si>
  <si>
    <t>Ostali rashodi</t>
  </si>
  <si>
    <t>4</t>
  </si>
  <si>
    <t>412</t>
  </si>
  <si>
    <t>4123</t>
  </si>
  <si>
    <t>423</t>
  </si>
  <si>
    <t>4231</t>
  </si>
  <si>
    <t>Ulaganja u računalna programe</t>
  </si>
  <si>
    <t>3833</t>
  </si>
  <si>
    <t>Naknade štete zaposlenicima</t>
  </si>
  <si>
    <t>Materijali i sirovine</t>
  </si>
  <si>
    <t>Višak iz prošlih godina-vlastiti prihodi</t>
  </si>
  <si>
    <t>Uređaji, strojevi i oprema za ostale namjere</t>
  </si>
  <si>
    <t>Specijalističko usavršavanje iz obiteljske medicine - tri liječnika, Dom zdravlja Vinkovci</t>
  </si>
  <si>
    <t>32</t>
  </si>
  <si>
    <t>KORIŠTENJE DEC-a SREDSTAVA ŽUPANIJE</t>
  </si>
  <si>
    <t>Opći prihodi i primitci</t>
  </si>
  <si>
    <t>ZAŠTITA I PROMICANJE DOJENJA</t>
  </si>
  <si>
    <t>Izvanredna aktivnost Doma zdravlja Vinkovci-suzbijanje epidemije uzrokovane Covid 19</t>
  </si>
  <si>
    <t>36</t>
  </si>
  <si>
    <t>369</t>
  </si>
  <si>
    <t>Prijenosi između proračunskog korisnika istog proračuna</t>
  </si>
  <si>
    <t>3691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</si>
</sst>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[$€-1]_-;\-* #,##0.00\ [$€-1]_-;_-* &quot;-&quot;??\ [$€-1]_-;_-@_-"/>
  </numFmts>
  <fonts count="145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6"/>
      <name val="Calibri"/>
      <family val="2"/>
    </font>
    <font>
      <b/>
      <i/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4"/>
      <color indexed="56"/>
      <name val="Calibri"/>
      <family val="2"/>
    </font>
    <font>
      <b/>
      <i/>
      <sz val="12"/>
      <color indexed="10"/>
      <name val="Calibri"/>
      <family val="2"/>
    </font>
    <font>
      <sz val="11"/>
      <color indexed="56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sz val="14"/>
      <color indexed="56"/>
      <name val="Calibri"/>
      <family val="2"/>
    </font>
    <font>
      <sz val="12"/>
      <color indexed="56"/>
      <name val="Calibri"/>
      <family val="2"/>
    </font>
    <font>
      <b/>
      <i/>
      <sz val="11"/>
      <color indexed="10"/>
      <name val="Arial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9"/>
      <color indexed="56"/>
      <name val="Calibri"/>
      <family val="2"/>
    </font>
    <font>
      <i/>
      <sz val="12"/>
      <color indexed="56"/>
      <name val="Calibri"/>
      <family val="2"/>
    </font>
    <font>
      <b/>
      <i/>
      <sz val="9"/>
      <color indexed="18"/>
      <name val="Calibri"/>
      <family val="2"/>
    </font>
    <font>
      <i/>
      <sz val="8"/>
      <color indexed="8"/>
      <name val="Calibri"/>
      <family val="2"/>
    </font>
    <font>
      <b/>
      <i/>
      <sz val="8"/>
      <color indexed="56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18"/>
      <name val="Calibri"/>
      <family val="2"/>
    </font>
    <font>
      <i/>
      <sz val="8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i/>
      <sz val="11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i/>
      <sz val="11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b/>
      <sz val="10"/>
      <color indexed="56"/>
      <name val="Arial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theme="3" tint="-0.4999699890613556"/>
      <name val="Calibri"/>
      <family val="2"/>
    </font>
    <font>
      <b/>
      <sz val="14"/>
      <color rgb="FF002060"/>
      <name val="Calibri"/>
      <family val="2"/>
    </font>
    <font>
      <b/>
      <i/>
      <sz val="12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  <font>
      <b/>
      <i/>
      <sz val="11"/>
      <color rgb="FFFF0000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b/>
      <i/>
      <sz val="11"/>
      <color rgb="FFFF0000"/>
      <name val="Arial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9"/>
      <color rgb="FF002060"/>
      <name val="Calibri"/>
      <family val="2"/>
    </font>
    <font>
      <i/>
      <sz val="12"/>
      <color rgb="FF002060"/>
      <name val="Calibri"/>
      <family val="2"/>
    </font>
    <font>
      <b/>
      <i/>
      <sz val="9"/>
      <color theme="3" tint="-0.24997000396251678"/>
      <name val="Calibri"/>
      <family val="2"/>
    </font>
    <font>
      <i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  <font>
      <i/>
      <sz val="8"/>
      <color rgb="FF002060"/>
      <name val="Calibri"/>
      <family val="2"/>
    </font>
    <font>
      <i/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3" tint="-0.4999699890613556"/>
      <name val="Arial"/>
      <family val="2"/>
    </font>
    <font>
      <sz val="11"/>
      <color theme="3" tint="0.39998000860214233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3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>
        <color rgb="FF002060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20" borderId="1" applyNumberFormat="0" applyFont="0" applyAlignment="0" applyProtection="0"/>
    <xf numFmtId="0" fontId="80" fillId="21" borderId="0" applyNumberFormat="0" applyBorder="0" applyAlignment="0" applyProtection="0"/>
    <xf numFmtId="0" fontId="81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2" fillId="28" borderId="2" applyNumberFormat="0" applyAlignment="0" applyProtection="0"/>
    <xf numFmtId="0" fontId="83" fillId="28" borderId="3" applyNumberFormat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1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4">
    <xf numFmtId="0" fontId="0" fillId="0" borderId="0" xfId="0" applyFont="1" applyAlignment="1">
      <alignment/>
    </xf>
    <xf numFmtId="3" fontId="98" fillId="33" borderId="0" xfId="52" applyNumberFormat="1" applyFont="1" applyFill="1" applyBorder="1" applyAlignment="1">
      <alignment vertical="center"/>
      <protection/>
    </xf>
    <xf numFmtId="176" fontId="98" fillId="33" borderId="0" xfId="52" applyNumberFormat="1" applyFont="1" applyFill="1" applyBorder="1" applyAlignment="1">
      <alignment vertical="center"/>
      <protection/>
    </xf>
    <xf numFmtId="176" fontId="99" fillId="0" borderId="0" xfId="52" applyNumberFormat="1" applyFont="1" applyBorder="1" applyAlignment="1">
      <alignment horizontal="right" vertical="center"/>
      <protection/>
    </xf>
    <xf numFmtId="0" fontId="100" fillId="34" borderId="10" xfId="52" applyFont="1" applyFill="1" applyBorder="1" applyAlignment="1">
      <alignment horizontal="center" vertical="center" wrapText="1"/>
      <protection/>
    </xf>
    <xf numFmtId="0" fontId="100" fillId="35" borderId="10" xfId="55" applyFont="1" applyFill="1" applyBorder="1" applyAlignment="1">
      <alignment horizontal="center" vertical="center" wrapText="1"/>
      <protection/>
    </xf>
    <xf numFmtId="176" fontId="101" fillId="0" borderId="10" xfId="0" applyNumberFormat="1" applyFont="1" applyFill="1" applyBorder="1" applyAlignment="1">
      <alignment horizontal="center" vertical="center" wrapText="1"/>
    </xf>
    <xf numFmtId="176" fontId="100" fillId="0" borderId="10" xfId="52" applyNumberFormat="1" applyFont="1" applyBorder="1" applyAlignment="1">
      <alignment horizontal="center" vertical="center" wrapText="1"/>
      <protection/>
    </xf>
    <xf numFmtId="3" fontId="102" fillId="34" borderId="10" xfId="52" applyNumberFormat="1" applyFont="1" applyFill="1" applyBorder="1" applyAlignment="1">
      <alignment horizontal="left" vertical="center"/>
      <protection/>
    </xf>
    <xf numFmtId="0" fontId="102" fillId="34" borderId="10" xfId="52" applyFont="1" applyFill="1" applyBorder="1" applyAlignment="1">
      <alignment horizontal="left" vertical="center" wrapText="1"/>
      <protection/>
    </xf>
    <xf numFmtId="176" fontId="102" fillId="0" borderId="10" xfId="52" applyNumberFormat="1" applyFont="1" applyBorder="1" applyAlignment="1">
      <alignment vertical="center" wrapText="1"/>
      <protection/>
    </xf>
    <xf numFmtId="3" fontId="98" fillId="36" borderId="10" xfId="52" applyNumberFormat="1" applyFont="1" applyFill="1" applyBorder="1" applyAlignment="1">
      <alignment horizontal="left" vertical="center"/>
      <protection/>
    </xf>
    <xf numFmtId="3" fontId="98" fillId="36" borderId="10" xfId="52" applyNumberFormat="1" applyFont="1" applyFill="1" applyBorder="1" applyAlignment="1">
      <alignment horizontal="left" vertical="center" wrapText="1"/>
      <protection/>
    </xf>
    <xf numFmtId="176" fontId="98" fillId="7" borderId="10" xfId="52" applyNumberFormat="1" applyFont="1" applyFill="1" applyBorder="1" applyAlignment="1">
      <alignment vertical="center" wrapText="1"/>
      <protection/>
    </xf>
    <xf numFmtId="3" fontId="103" fillId="37" borderId="10" xfId="52" applyNumberFormat="1" applyFont="1" applyFill="1" applyBorder="1" applyAlignment="1">
      <alignment horizontal="left" vertical="center"/>
      <protection/>
    </xf>
    <xf numFmtId="49" fontId="103" fillId="10" borderId="10" xfId="52" applyNumberFormat="1" applyFont="1" applyFill="1" applyBorder="1" applyAlignment="1">
      <alignment horizontal="left" vertical="center" wrapText="1"/>
      <protection/>
    </xf>
    <xf numFmtId="176" fontId="103" fillId="10" borderId="10" xfId="52" applyNumberFormat="1" applyFont="1" applyFill="1" applyBorder="1" applyAlignment="1">
      <alignment vertical="center" wrapText="1"/>
      <protection/>
    </xf>
    <xf numFmtId="0" fontId="100" fillId="38" borderId="10" xfId="52" applyFont="1" applyFill="1" applyBorder="1" applyAlignment="1">
      <alignment horizontal="center" vertical="center"/>
      <protection/>
    </xf>
    <xf numFmtId="49" fontId="100" fillId="38" borderId="10" xfId="52" applyNumberFormat="1" applyFont="1" applyFill="1" applyBorder="1" applyAlignment="1">
      <alignment vertical="center"/>
      <protection/>
    </xf>
    <xf numFmtId="176" fontId="100" fillId="14" borderId="10" xfId="52" applyNumberFormat="1" applyFont="1" applyFill="1" applyBorder="1" applyAlignment="1">
      <alignment vertical="center" wrapText="1"/>
      <protection/>
    </xf>
    <xf numFmtId="49" fontId="104" fillId="39" borderId="10" xfId="52" applyNumberFormat="1" applyFont="1" applyFill="1" applyBorder="1" applyAlignment="1">
      <alignment horizontal="right" vertical="center"/>
      <protection/>
    </xf>
    <xf numFmtId="49" fontId="104" fillId="39" borderId="10" xfId="52" applyNumberFormat="1" applyFont="1" applyFill="1" applyBorder="1" applyAlignment="1">
      <alignment vertical="center"/>
      <protection/>
    </xf>
    <xf numFmtId="176" fontId="104" fillId="2" borderId="10" xfId="52" applyNumberFormat="1" applyFont="1" applyFill="1" applyBorder="1" applyAlignment="1">
      <alignment vertical="center" wrapText="1"/>
      <protection/>
    </xf>
    <xf numFmtId="49" fontId="104" fillId="0" borderId="10" xfId="52" applyNumberFormat="1" applyFont="1" applyBorder="1" applyAlignment="1">
      <alignment horizontal="right" vertical="center"/>
      <protection/>
    </xf>
    <xf numFmtId="0" fontId="104" fillId="0" borderId="10" xfId="52" applyFont="1" applyBorder="1" applyAlignment="1">
      <alignment vertical="center"/>
      <protection/>
    </xf>
    <xf numFmtId="176" fontId="104" fillId="0" borderId="10" xfId="52" applyNumberFormat="1" applyFont="1" applyBorder="1" applyAlignment="1">
      <alignment vertical="center" wrapText="1"/>
      <protection/>
    </xf>
    <xf numFmtId="49" fontId="105" fillId="0" borderId="10" xfId="52" applyNumberFormat="1" applyFont="1" applyBorder="1" applyAlignment="1">
      <alignment horizontal="right" vertical="center"/>
      <protection/>
    </xf>
    <xf numFmtId="0" fontId="105" fillId="0" borderId="10" xfId="52" applyFont="1" applyBorder="1" applyAlignment="1">
      <alignment vertical="center"/>
      <protection/>
    </xf>
    <xf numFmtId="176" fontId="0" fillId="0" borderId="10" xfId="0" applyNumberFormat="1" applyFont="1" applyFill="1" applyBorder="1" applyAlignment="1">
      <alignment/>
    </xf>
    <xf numFmtId="176" fontId="105" fillId="0" borderId="10" xfId="55" applyNumberFormat="1" applyFont="1" applyBorder="1" applyAlignment="1">
      <alignment vertical="center"/>
      <protection/>
    </xf>
    <xf numFmtId="176" fontId="106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04" fillId="0" borderId="10" xfId="52" applyNumberFormat="1" applyFont="1" applyFill="1" applyBorder="1" applyAlignment="1">
      <alignment vertical="center" wrapText="1"/>
      <protection/>
    </xf>
    <xf numFmtId="49" fontId="104" fillId="35" borderId="10" xfId="52" applyNumberFormat="1" applyFont="1" applyFill="1" applyBorder="1" applyAlignment="1">
      <alignment horizontal="right" vertical="center"/>
      <protection/>
    </xf>
    <xf numFmtId="176" fontId="96" fillId="0" borderId="10" xfId="0" applyNumberFormat="1" applyFont="1" applyFill="1" applyBorder="1" applyAlignment="1">
      <alignment/>
    </xf>
    <xf numFmtId="176" fontId="104" fillId="35" borderId="10" xfId="55" applyNumberFormat="1" applyFont="1" applyFill="1" applyBorder="1" applyAlignment="1">
      <alignment vertical="center"/>
      <protection/>
    </xf>
    <xf numFmtId="49" fontId="105" fillId="35" borderId="10" xfId="52" applyNumberFormat="1" applyFont="1" applyFill="1" applyBorder="1" applyAlignment="1">
      <alignment horizontal="right" vertical="center"/>
      <protection/>
    </xf>
    <xf numFmtId="176" fontId="105" fillId="35" borderId="10" xfId="55" applyNumberFormat="1" applyFont="1" applyFill="1" applyBorder="1" applyAlignment="1">
      <alignment vertical="center"/>
      <protection/>
    </xf>
    <xf numFmtId="176" fontId="105" fillId="0" borderId="10" xfId="52" applyNumberFormat="1" applyFont="1" applyBorder="1" applyAlignment="1">
      <alignment vertical="center" wrapText="1"/>
      <protection/>
    </xf>
    <xf numFmtId="176" fontId="105" fillId="0" borderId="10" xfId="52" applyNumberFormat="1" applyFont="1" applyFill="1" applyBorder="1" applyAlignment="1">
      <alignment vertical="center" wrapText="1"/>
      <protection/>
    </xf>
    <xf numFmtId="0" fontId="105" fillId="0" borderId="10" xfId="52" applyFont="1" applyBorder="1" applyAlignment="1">
      <alignment vertical="center" wrapText="1"/>
      <protection/>
    </xf>
    <xf numFmtId="0" fontId="104" fillId="0" borderId="10" xfId="52" applyFont="1" applyBorder="1" applyAlignment="1">
      <alignment vertical="center" wrapText="1"/>
      <protection/>
    </xf>
    <xf numFmtId="0" fontId="105" fillId="35" borderId="10" xfId="52" applyFont="1" applyFill="1" applyBorder="1" applyAlignment="1">
      <alignment horizontal="right" vertical="center"/>
      <protection/>
    </xf>
    <xf numFmtId="49" fontId="105" fillId="35" borderId="10" xfId="52" applyNumberFormat="1" applyFont="1" applyFill="1" applyBorder="1" applyAlignment="1">
      <alignment horizontal="left" vertical="center"/>
      <protection/>
    </xf>
    <xf numFmtId="49" fontId="104" fillId="35" borderId="10" xfId="52" applyNumberFormat="1" applyFont="1" applyFill="1" applyBorder="1" applyAlignment="1">
      <alignment horizontal="left" vertical="center" wrapText="1"/>
      <protection/>
    </xf>
    <xf numFmtId="49" fontId="105" fillId="35" borderId="10" xfId="52" applyNumberFormat="1" applyFont="1" applyFill="1" applyBorder="1" applyAlignment="1">
      <alignment horizontal="left" vertical="center" wrapText="1"/>
      <protection/>
    </xf>
    <xf numFmtId="0" fontId="104" fillId="35" borderId="10" xfId="52" applyFont="1" applyFill="1" applyBorder="1" applyAlignment="1">
      <alignment horizontal="right" vertical="center"/>
      <protection/>
    </xf>
    <xf numFmtId="49" fontId="104" fillId="35" borderId="10" xfId="52" applyNumberFormat="1" applyFont="1" applyFill="1" applyBorder="1" applyAlignment="1">
      <alignment horizontal="left" vertical="center"/>
      <protection/>
    </xf>
    <xf numFmtId="176" fontId="1" fillId="0" borderId="10" xfId="0" applyNumberFormat="1" applyFont="1" applyFill="1" applyBorder="1" applyAlignment="1">
      <alignment vertical="center"/>
    </xf>
    <xf numFmtId="0" fontId="105" fillId="0" borderId="10" xfId="52" applyFont="1" applyBorder="1" applyAlignment="1">
      <alignment horizontal="right" vertical="center"/>
      <protection/>
    </xf>
    <xf numFmtId="49" fontId="105" fillId="0" borderId="10" xfId="52" applyNumberFormat="1" applyFont="1" applyBorder="1" applyAlignment="1">
      <alignment horizontal="left" vertical="center"/>
      <protection/>
    </xf>
    <xf numFmtId="0" fontId="104" fillId="2" borderId="10" xfId="52" applyFont="1" applyFill="1" applyBorder="1" applyAlignment="1">
      <alignment horizontal="right" vertical="center"/>
      <protection/>
    </xf>
    <xf numFmtId="49" fontId="104" fillId="2" borderId="10" xfId="52" applyNumberFormat="1" applyFont="1" applyFill="1" applyBorder="1" applyAlignment="1">
      <alignment horizontal="left" vertical="center"/>
      <protection/>
    </xf>
    <xf numFmtId="176" fontId="96" fillId="2" borderId="10" xfId="0" applyNumberFormat="1" applyFont="1" applyFill="1" applyBorder="1" applyAlignment="1">
      <alignment/>
    </xf>
    <xf numFmtId="0" fontId="104" fillId="0" borderId="10" xfId="52" applyFont="1" applyBorder="1" applyAlignment="1">
      <alignment horizontal="right" vertical="center"/>
      <protection/>
    </xf>
    <xf numFmtId="49" fontId="104" fillId="0" borderId="10" xfId="52" applyNumberFormat="1" applyFont="1" applyBorder="1" applyAlignment="1">
      <alignment horizontal="left" vertical="center"/>
      <protection/>
    </xf>
    <xf numFmtId="49" fontId="104" fillId="0" borderId="10" xfId="52" applyNumberFormat="1" applyFont="1" applyBorder="1" applyAlignment="1">
      <alignment vertical="center"/>
      <protection/>
    </xf>
    <xf numFmtId="49" fontId="105" fillId="0" borderId="10" xfId="52" applyNumberFormat="1" applyFont="1" applyBorder="1" applyAlignment="1">
      <alignment vertical="center"/>
      <protection/>
    </xf>
    <xf numFmtId="176" fontId="105" fillId="0" borderId="10" xfId="55" applyNumberFormat="1" applyFont="1" applyFill="1" applyBorder="1" applyAlignment="1">
      <alignment vertical="center"/>
      <protection/>
    </xf>
    <xf numFmtId="0" fontId="104" fillId="38" borderId="10" xfId="52" applyFont="1" applyFill="1" applyBorder="1" applyAlignment="1">
      <alignment horizontal="center" vertical="center"/>
      <protection/>
    </xf>
    <xf numFmtId="49" fontId="104" fillId="38" borderId="10" xfId="52" applyNumberFormat="1" applyFont="1" applyFill="1" applyBorder="1" applyAlignment="1">
      <alignment vertical="center"/>
      <protection/>
    </xf>
    <xf numFmtId="176" fontId="104" fillId="14" borderId="10" xfId="52" applyNumberFormat="1" applyFont="1" applyFill="1" applyBorder="1" applyAlignment="1">
      <alignment vertical="center" wrapText="1"/>
      <protection/>
    </xf>
    <xf numFmtId="49" fontId="104" fillId="39" borderId="10" xfId="52" applyNumberFormat="1" applyFont="1" applyFill="1" applyBorder="1" applyAlignment="1">
      <alignment vertical="center" wrapText="1"/>
      <protection/>
    </xf>
    <xf numFmtId="49" fontId="104" fillId="0" borderId="10" xfId="52" applyNumberFormat="1" applyFont="1" applyFill="1" applyBorder="1" applyAlignment="1">
      <alignment horizontal="right" vertical="center"/>
      <protection/>
    </xf>
    <xf numFmtId="49" fontId="104" fillId="0" borderId="10" xfId="52" applyNumberFormat="1" applyFont="1" applyFill="1" applyBorder="1" applyAlignment="1">
      <alignment vertical="center" wrapText="1"/>
      <protection/>
    </xf>
    <xf numFmtId="176" fontId="104" fillId="0" borderId="10" xfId="55" applyNumberFormat="1" applyFont="1" applyBorder="1" applyAlignment="1">
      <alignment vertical="center"/>
      <protection/>
    </xf>
    <xf numFmtId="49" fontId="105" fillId="0" borderId="10" xfId="52" applyNumberFormat="1" applyFont="1" applyFill="1" applyBorder="1" applyAlignment="1">
      <alignment horizontal="right" vertical="center"/>
      <protection/>
    </xf>
    <xf numFmtId="49" fontId="105" fillId="0" borderId="10" xfId="52" applyNumberFormat="1" applyFont="1" applyFill="1" applyBorder="1" applyAlignment="1">
      <alignment vertical="center" wrapText="1"/>
      <protection/>
    </xf>
    <xf numFmtId="49" fontId="104" fillId="35" borderId="10" xfId="52" applyNumberFormat="1" applyFont="1" applyFill="1" applyBorder="1" applyAlignment="1">
      <alignment vertical="center"/>
      <protection/>
    </xf>
    <xf numFmtId="49" fontId="105" fillId="35" borderId="10" xfId="52" applyNumberFormat="1" applyFont="1" applyFill="1" applyBorder="1" applyAlignment="1">
      <alignment vertical="center"/>
      <protection/>
    </xf>
    <xf numFmtId="49" fontId="104" fillId="35" borderId="10" xfId="55" applyNumberFormat="1" applyFont="1" applyFill="1" applyBorder="1" applyAlignment="1">
      <alignment vertical="center"/>
      <protection/>
    </xf>
    <xf numFmtId="49" fontId="105" fillId="35" borderId="10" xfId="55" applyNumberFormat="1" applyFont="1" applyFill="1" applyBorder="1" applyAlignment="1">
      <alignment vertical="center"/>
      <protection/>
    </xf>
    <xf numFmtId="49" fontId="107" fillId="0" borderId="10" xfId="52" applyNumberFormat="1" applyFont="1" applyBorder="1" applyAlignment="1">
      <alignment horizontal="right" vertical="center"/>
      <protection/>
    </xf>
    <xf numFmtId="0" fontId="107" fillId="0" borderId="10" xfId="52" applyFont="1" applyBorder="1" applyAlignment="1">
      <alignment vertical="center"/>
      <protection/>
    </xf>
    <xf numFmtId="176" fontId="107" fillId="0" borderId="10" xfId="0" applyNumberFormat="1" applyFont="1" applyFill="1" applyBorder="1" applyAlignment="1">
      <alignment/>
    </xf>
    <xf numFmtId="49" fontId="106" fillId="0" borderId="10" xfId="52" applyNumberFormat="1" applyFont="1" applyBorder="1" applyAlignment="1">
      <alignment horizontal="right" vertical="center"/>
      <protection/>
    </xf>
    <xf numFmtId="0" fontId="106" fillId="0" borderId="10" xfId="52" applyFont="1" applyBorder="1" applyAlignment="1">
      <alignment vertical="center"/>
      <protection/>
    </xf>
    <xf numFmtId="176" fontId="106" fillId="0" borderId="10" xfId="52" applyNumberFormat="1" applyFont="1" applyBorder="1" applyAlignment="1">
      <alignment vertical="center" wrapText="1"/>
      <protection/>
    </xf>
    <xf numFmtId="49" fontId="108" fillId="37" borderId="10" xfId="52" applyNumberFormat="1" applyFont="1" applyFill="1" applyBorder="1" applyAlignment="1">
      <alignment horizontal="left" vertical="center"/>
      <protection/>
    </xf>
    <xf numFmtId="49" fontId="108" fillId="37" borderId="10" xfId="52" applyNumberFormat="1" applyFont="1" applyFill="1" applyBorder="1" applyAlignment="1">
      <alignment vertical="center"/>
      <protection/>
    </xf>
    <xf numFmtId="176" fontId="108" fillId="10" borderId="10" xfId="52" applyNumberFormat="1" applyFont="1" applyFill="1" applyBorder="1" applyAlignment="1">
      <alignment vertical="center" wrapText="1"/>
      <protection/>
    </xf>
    <xf numFmtId="49" fontId="104" fillId="38" borderId="10" xfId="52" applyNumberFormat="1" applyFont="1" applyFill="1" applyBorder="1" applyAlignment="1">
      <alignment horizontal="center" vertical="center"/>
      <protection/>
    </xf>
    <xf numFmtId="49" fontId="104" fillId="2" borderId="10" xfId="52" applyNumberFormat="1" applyFont="1" applyFill="1" applyBorder="1" applyAlignment="1">
      <alignment horizontal="right" vertical="center"/>
      <protection/>
    </xf>
    <xf numFmtId="0" fontId="104" fillId="2" borderId="10" xfId="52" applyFont="1" applyFill="1" applyBorder="1" applyAlignment="1">
      <alignment vertical="center"/>
      <protection/>
    </xf>
    <xf numFmtId="49" fontId="104" fillId="14" borderId="10" xfId="52" applyNumberFormat="1" applyFont="1" applyFill="1" applyBorder="1" applyAlignment="1">
      <alignment horizontal="right" vertical="center"/>
      <protection/>
    </xf>
    <xf numFmtId="0" fontId="104" fillId="14" borderId="10" xfId="52" applyFont="1" applyFill="1" applyBorder="1" applyAlignment="1">
      <alignment vertical="center"/>
      <protection/>
    </xf>
    <xf numFmtId="0" fontId="104" fillId="0" borderId="10" xfId="52" applyFont="1" applyFill="1" applyBorder="1" applyAlignment="1">
      <alignment vertical="center"/>
      <protection/>
    </xf>
    <xf numFmtId="0" fontId="105" fillId="0" borderId="10" xfId="52" applyFont="1" applyFill="1" applyBorder="1" applyAlignment="1">
      <alignment vertical="center"/>
      <protection/>
    </xf>
    <xf numFmtId="176" fontId="42" fillId="0" borderId="10" xfId="0" applyNumberFormat="1" applyFont="1" applyFill="1" applyBorder="1" applyAlignment="1">
      <alignment/>
    </xf>
    <xf numFmtId="0" fontId="105" fillId="0" borderId="10" xfId="55" applyFont="1" applyBorder="1" applyAlignment="1">
      <alignment vertical="center"/>
      <protection/>
    </xf>
    <xf numFmtId="49" fontId="104" fillId="14" borderId="10" xfId="52" applyNumberFormat="1" applyFont="1" applyFill="1" applyBorder="1" applyAlignment="1">
      <alignment horizontal="center" vertical="center"/>
      <protection/>
    </xf>
    <xf numFmtId="49" fontId="104" fillId="0" borderId="10" xfId="52" applyNumberFormat="1" applyFont="1" applyFill="1" applyBorder="1" applyAlignment="1">
      <alignment vertical="center"/>
      <protection/>
    </xf>
    <xf numFmtId="49" fontId="105" fillId="0" borderId="10" xfId="52" applyNumberFormat="1" applyFont="1" applyFill="1" applyBorder="1" applyAlignment="1">
      <alignment vertical="center"/>
      <protection/>
    </xf>
    <xf numFmtId="176" fontId="104" fillId="0" borderId="10" xfId="52" applyNumberFormat="1" applyFont="1" applyBorder="1" applyAlignment="1">
      <alignment vertical="center"/>
      <protection/>
    </xf>
    <xf numFmtId="176" fontId="105" fillId="0" borderId="10" xfId="52" applyNumberFormat="1" applyFont="1" applyBorder="1" applyAlignment="1">
      <alignment vertical="center"/>
      <protection/>
    </xf>
    <xf numFmtId="176" fontId="104" fillId="33" borderId="10" xfId="52" applyNumberFormat="1" applyFont="1" applyFill="1" applyBorder="1" applyAlignment="1">
      <alignment vertical="center" wrapText="1"/>
      <protection/>
    </xf>
    <xf numFmtId="176" fontId="105" fillId="33" borderId="10" xfId="52" applyNumberFormat="1" applyFont="1" applyFill="1" applyBorder="1" applyAlignment="1">
      <alignment vertical="center" wrapText="1"/>
      <protection/>
    </xf>
    <xf numFmtId="49" fontId="108" fillId="37" borderId="10" xfId="52" applyNumberFormat="1" applyFont="1" applyFill="1" applyBorder="1" applyAlignment="1">
      <alignment vertical="center" wrapText="1"/>
      <protection/>
    </xf>
    <xf numFmtId="176" fontId="1" fillId="0" borderId="10" xfId="55" applyNumberFormat="1" applyFont="1" applyFill="1" applyBorder="1" applyAlignment="1">
      <alignment vertical="center"/>
      <protection/>
    </xf>
    <xf numFmtId="49" fontId="42" fillId="38" borderId="10" xfId="52" applyNumberFormat="1" applyFont="1" applyFill="1" applyBorder="1" applyAlignment="1">
      <alignment horizontal="center" vertical="center"/>
      <protection/>
    </xf>
    <xf numFmtId="49" fontId="104" fillId="34" borderId="10" xfId="52" applyNumberFormat="1" applyFont="1" applyFill="1" applyBorder="1" applyAlignment="1">
      <alignment horizontal="right" vertical="center"/>
      <protection/>
    </xf>
    <xf numFmtId="49" fontId="104" fillId="34" borderId="10" xfId="52" applyNumberFormat="1" applyFont="1" applyFill="1" applyBorder="1" applyAlignment="1">
      <alignment vertical="center"/>
      <protection/>
    </xf>
    <xf numFmtId="49" fontId="105" fillId="34" borderId="10" xfId="52" applyNumberFormat="1" applyFont="1" applyFill="1" applyBorder="1" applyAlignment="1">
      <alignment horizontal="right" vertical="center"/>
      <protection/>
    </xf>
    <xf numFmtId="49" fontId="105" fillId="34" borderId="10" xfId="52" applyNumberFormat="1" applyFont="1" applyFill="1" applyBorder="1" applyAlignment="1">
      <alignment vertical="center"/>
      <protection/>
    </xf>
    <xf numFmtId="176" fontId="109" fillId="33" borderId="10" xfId="52" applyNumberFormat="1" applyFont="1" applyFill="1" applyBorder="1" applyAlignment="1">
      <alignment vertical="center" wrapText="1"/>
      <protection/>
    </xf>
    <xf numFmtId="3" fontId="98" fillId="7" borderId="10" xfId="52" applyNumberFormat="1" applyFont="1" applyFill="1" applyBorder="1" applyAlignment="1">
      <alignment horizontal="left" vertical="center"/>
      <protection/>
    </xf>
    <xf numFmtId="3" fontId="98" fillId="7" borderId="10" xfId="52" applyNumberFormat="1" applyFont="1" applyFill="1" applyBorder="1" applyAlignment="1">
      <alignment vertical="center" wrapText="1"/>
      <protection/>
    </xf>
    <xf numFmtId="49" fontId="42" fillId="38" borderId="10" xfId="52" applyNumberFormat="1" applyFont="1" applyFill="1" applyBorder="1" applyAlignment="1">
      <alignment vertical="center"/>
      <protection/>
    </xf>
    <xf numFmtId="176" fontId="110" fillId="0" borderId="10" xfId="52" applyNumberFormat="1" applyFont="1" applyBorder="1" applyAlignment="1">
      <alignment vertical="center" wrapText="1"/>
      <protection/>
    </xf>
    <xf numFmtId="176" fontId="100" fillId="2" borderId="10" xfId="52" applyNumberFormat="1" applyFont="1" applyFill="1" applyBorder="1" applyAlignment="1">
      <alignment vertical="center" wrapText="1"/>
      <protection/>
    </xf>
    <xf numFmtId="176" fontId="104" fillId="0" borderId="0" xfId="52" applyNumberFormat="1" applyFont="1" applyAlignment="1">
      <alignment vertical="center"/>
      <protection/>
    </xf>
    <xf numFmtId="49" fontId="111" fillId="37" borderId="10" xfId="52" applyNumberFormat="1" applyFont="1" applyFill="1" applyBorder="1" applyAlignment="1">
      <alignment horizontal="left" vertical="center"/>
      <protection/>
    </xf>
    <xf numFmtId="49" fontId="111" fillId="37" borderId="10" xfId="52" applyNumberFormat="1" applyFont="1" applyFill="1" applyBorder="1" applyAlignment="1">
      <alignment vertical="center"/>
      <protection/>
    </xf>
    <xf numFmtId="176" fontId="100" fillId="0" borderId="10" xfId="52" applyNumberFormat="1" applyFont="1" applyBorder="1" applyAlignment="1">
      <alignment vertical="center" wrapText="1"/>
      <protection/>
    </xf>
    <xf numFmtId="0" fontId="112" fillId="0" borderId="10" xfId="0" applyFont="1" applyBorder="1" applyAlignment="1">
      <alignment horizontal="right" wrapText="1"/>
    </xf>
    <xf numFmtId="0" fontId="112" fillId="0" borderId="10" xfId="0" applyFont="1" applyBorder="1" applyAlignment="1">
      <alignment wrapText="1"/>
    </xf>
    <xf numFmtId="176" fontId="112" fillId="0" borderId="10" xfId="52" applyNumberFormat="1" applyFont="1" applyBorder="1" applyAlignment="1">
      <alignment vertical="center" wrapText="1"/>
      <protection/>
    </xf>
    <xf numFmtId="0" fontId="113" fillId="0" borderId="10" xfId="0" applyFont="1" applyBorder="1" applyAlignment="1">
      <alignment horizontal="right" wrapText="1"/>
    </xf>
    <xf numFmtId="0" fontId="113" fillId="0" borderId="10" xfId="0" applyFont="1" applyBorder="1" applyAlignment="1">
      <alignment wrapText="1"/>
    </xf>
    <xf numFmtId="176" fontId="113" fillId="0" borderId="10" xfId="52" applyNumberFormat="1" applyFont="1" applyBorder="1" applyAlignment="1">
      <alignment vertical="center" wrapText="1"/>
      <protection/>
    </xf>
    <xf numFmtId="176" fontId="113" fillId="0" borderId="10" xfId="0" applyNumberFormat="1" applyFont="1" applyFill="1" applyBorder="1" applyAlignment="1">
      <alignment/>
    </xf>
    <xf numFmtId="176" fontId="113" fillId="0" borderId="10" xfId="0" applyNumberFormat="1" applyFont="1" applyBorder="1" applyAlignment="1">
      <alignment wrapText="1"/>
    </xf>
    <xf numFmtId="0" fontId="114" fillId="0" borderId="0" xfId="55" applyFont="1">
      <alignment/>
      <protection/>
    </xf>
    <xf numFmtId="0" fontId="115" fillId="0" borderId="0" xfId="55" applyFont="1">
      <alignment/>
      <protection/>
    </xf>
    <xf numFmtId="0" fontId="116" fillId="0" borderId="0" xfId="55" applyFont="1">
      <alignment/>
      <protection/>
    </xf>
    <xf numFmtId="0" fontId="114" fillId="33" borderId="0" xfId="55" applyFont="1" applyFill="1">
      <alignment/>
      <protection/>
    </xf>
    <xf numFmtId="0" fontId="117" fillId="0" borderId="0" xfId="55" applyFont="1">
      <alignment/>
      <protection/>
    </xf>
    <xf numFmtId="0" fontId="118" fillId="0" borderId="0" xfId="55" applyFont="1">
      <alignment/>
      <protection/>
    </xf>
    <xf numFmtId="0" fontId="100" fillId="33" borderId="0" xfId="51" applyFont="1" applyFill="1" applyAlignment="1">
      <alignment horizontal="center" vertical="center" wrapText="1"/>
      <protection/>
    </xf>
    <xf numFmtId="0" fontId="100" fillId="33" borderId="0" xfId="53" applyFont="1" applyFill="1" applyAlignment="1">
      <alignment horizontal="center" vertical="center" wrapText="1"/>
      <protection/>
    </xf>
    <xf numFmtId="0" fontId="110" fillId="33" borderId="0" xfId="53" applyFont="1" applyFill="1" applyAlignment="1">
      <alignment vertical="center" wrapText="1"/>
      <protection/>
    </xf>
    <xf numFmtId="0" fontId="110" fillId="33" borderId="0" xfId="53" applyFont="1" applyFill="1" applyAlignment="1">
      <alignment wrapText="1"/>
      <protection/>
    </xf>
    <xf numFmtId="0" fontId="110" fillId="33" borderId="0" xfId="53" applyFont="1" applyFill="1" applyAlignment="1">
      <alignment horizontal="right" wrapText="1"/>
      <protection/>
    </xf>
    <xf numFmtId="0" fontId="104" fillId="33" borderId="11" xfId="53" applyFont="1" applyFill="1" applyBorder="1" applyAlignment="1">
      <alignment horizontal="center" vertical="center" wrapText="1"/>
      <protection/>
    </xf>
    <xf numFmtId="0" fontId="100" fillId="35" borderId="12" xfId="55" applyFont="1" applyFill="1" applyBorder="1" applyAlignment="1">
      <alignment horizontal="center" vertical="center" wrapText="1"/>
      <protection/>
    </xf>
    <xf numFmtId="0" fontId="119" fillId="33" borderId="11" xfId="53" applyFont="1" applyFill="1" applyBorder="1" applyAlignment="1">
      <alignment horizontal="center" vertical="center" wrapText="1"/>
      <protection/>
    </xf>
    <xf numFmtId="0" fontId="100" fillId="33" borderId="11" xfId="53" applyFont="1" applyFill="1" applyBorder="1" applyAlignment="1">
      <alignment horizontal="center" vertical="center" wrapText="1"/>
      <protection/>
    </xf>
    <xf numFmtId="0" fontId="100" fillId="33" borderId="11" xfId="53" applyFont="1" applyFill="1" applyBorder="1" applyAlignment="1">
      <alignment horizontal="left" vertical="center" wrapText="1"/>
      <protection/>
    </xf>
    <xf numFmtId="176" fontId="100" fillId="33" borderId="11" xfId="53" applyNumberFormat="1" applyFont="1" applyFill="1" applyBorder="1" applyAlignment="1">
      <alignment horizontal="right" vertical="center" wrapText="1"/>
      <protection/>
    </xf>
    <xf numFmtId="176" fontId="100" fillId="33" borderId="13" xfId="53" applyNumberFormat="1" applyFont="1" applyFill="1" applyBorder="1" applyAlignment="1">
      <alignment horizontal="right" vertical="center" wrapText="1"/>
      <protection/>
    </xf>
    <xf numFmtId="0" fontId="100" fillId="33" borderId="11" xfId="55" applyFont="1" applyFill="1" applyBorder="1" applyAlignment="1">
      <alignment horizontal="center" vertical="center"/>
      <protection/>
    </xf>
    <xf numFmtId="49" fontId="100" fillId="34" borderId="11" xfId="55" applyNumberFormat="1" applyFont="1" applyFill="1" applyBorder="1" applyAlignment="1">
      <alignment horizontal="center" vertical="center"/>
      <protection/>
    </xf>
    <xf numFmtId="0" fontId="100" fillId="33" borderId="11" xfId="55" applyFont="1" applyFill="1" applyBorder="1" applyAlignment="1">
      <alignment vertical="center"/>
      <protection/>
    </xf>
    <xf numFmtId="49" fontId="100" fillId="34" borderId="11" xfId="55" applyNumberFormat="1" applyFont="1" applyFill="1" applyBorder="1" applyAlignment="1">
      <alignment vertical="center"/>
      <protection/>
    </xf>
    <xf numFmtId="176" fontId="100" fillId="34" borderId="11" xfId="55" applyNumberFormat="1" applyFont="1" applyFill="1" applyBorder="1" applyAlignment="1">
      <alignment vertical="center"/>
      <protection/>
    </xf>
    <xf numFmtId="176" fontId="100" fillId="34" borderId="13" xfId="55" applyNumberFormat="1" applyFont="1" applyFill="1" applyBorder="1" applyAlignment="1">
      <alignment vertical="center"/>
      <protection/>
    </xf>
    <xf numFmtId="0" fontId="100" fillId="0" borderId="11" xfId="56" applyFont="1" applyBorder="1" applyAlignment="1">
      <alignment horizontal="center" vertical="center" wrapText="1"/>
      <protection/>
    </xf>
    <xf numFmtId="0" fontId="100" fillId="0" borderId="11" xfId="55" applyFont="1" applyBorder="1" applyAlignment="1">
      <alignment horizontal="center" vertical="center"/>
      <protection/>
    </xf>
    <xf numFmtId="0" fontId="100" fillId="0" borderId="11" xfId="56" applyFont="1" applyBorder="1" applyAlignment="1">
      <alignment horizontal="left" vertical="center" wrapText="1"/>
      <protection/>
    </xf>
    <xf numFmtId="176" fontId="100" fillId="33" borderId="11" xfId="55" applyNumberFormat="1" applyFont="1" applyFill="1" applyBorder="1" applyAlignment="1">
      <alignment vertical="center"/>
      <protection/>
    </xf>
    <xf numFmtId="176" fontId="100" fillId="33" borderId="13" xfId="55" applyNumberFormat="1" applyFont="1" applyFill="1" applyBorder="1" applyAlignment="1">
      <alignment vertical="center"/>
      <protection/>
    </xf>
    <xf numFmtId="0" fontId="110" fillId="33" borderId="11" xfId="55" applyFont="1" applyFill="1" applyBorder="1" applyAlignment="1">
      <alignment horizontal="center" vertical="center"/>
      <protection/>
    </xf>
    <xf numFmtId="0" fontId="110" fillId="0" borderId="11" xfId="55" applyFont="1" applyBorder="1" applyAlignment="1">
      <alignment horizontal="center" vertical="center"/>
      <protection/>
    </xf>
    <xf numFmtId="0" fontId="110" fillId="0" borderId="11" xfId="56" applyFont="1" applyBorder="1" applyAlignment="1">
      <alignment horizontal="center" vertical="center" wrapText="1"/>
      <protection/>
    </xf>
    <xf numFmtId="0" fontId="110" fillId="0" borderId="11" xfId="56" applyFont="1" applyBorder="1" applyAlignment="1">
      <alignment horizontal="left" vertical="center" wrapText="1"/>
      <protection/>
    </xf>
    <xf numFmtId="176" fontId="110" fillId="34" borderId="11" xfId="55" applyNumberFormat="1" applyFont="1" applyFill="1" applyBorder="1" applyAlignment="1">
      <alignment vertical="center"/>
      <protection/>
    </xf>
    <xf numFmtId="176" fontId="110" fillId="34" borderId="11" xfId="55" applyNumberFormat="1" applyFont="1" applyFill="1" applyBorder="1" applyAlignment="1">
      <alignment horizontal="right" vertical="center"/>
      <protection/>
    </xf>
    <xf numFmtId="176" fontId="110" fillId="34" borderId="13" xfId="55" applyNumberFormat="1" applyFont="1" applyFill="1" applyBorder="1" applyAlignment="1">
      <alignment horizontal="right" vertical="center"/>
      <protection/>
    </xf>
    <xf numFmtId="0" fontId="120" fillId="33" borderId="11" xfId="53" applyFont="1" applyFill="1" applyBorder="1" applyAlignment="1">
      <alignment horizontal="center" vertical="center"/>
      <protection/>
    </xf>
    <xf numFmtId="0" fontId="120" fillId="33" borderId="11" xfId="53" applyFont="1" applyFill="1" applyBorder="1" applyAlignment="1">
      <alignment horizontal="left" vertical="center"/>
      <protection/>
    </xf>
    <xf numFmtId="0" fontId="120" fillId="33" borderId="11" xfId="53" applyFont="1" applyFill="1" applyBorder="1" applyAlignment="1">
      <alignment horizontal="right" vertical="center"/>
      <protection/>
    </xf>
    <xf numFmtId="176" fontId="120" fillId="33" borderId="11" xfId="53" applyNumberFormat="1" applyFont="1" applyFill="1" applyBorder="1" applyAlignment="1">
      <alignment horizontal="right" vertical="center" wrapText="1"/>
      <protection/>
    </xf>
    <xf numFmtId="176" fontId="120" fillId="33" borderId="13" xfId="53" applyNumberFormat="1" applyFont="1" applyFill="1" applyBorder="1" applyAlignment="1">
      <alignment horizontal="right" vertical="center" wrapText="1"/>
      <protection/>
    </xf>
    <xf numFmtId="0" fontId="100" fillId="33" borderId="11" xfId="55" applyFont="1" applyFill="1" applyBorder="1" applyAlignment="1">
      <alignment horizontal="left" vertical="center"/>
      <protection/>
    </xf>
    <xf numFmtId="0" fontId="117" fillId="33" borderId="11" xfId="55" applyFont="1" applyFill="1" applyBorder="1">
      <alignment/>
      <protection/>
    </xf>
    <xf numFmtId="0" fontId="100" fillId="33" borderId="11" xfId="55" applyFont="1" applyFill="1" applyBorder="1" applyAlignment="1">
      <alignment vertical="center" wrapText="1"/>
      <protection/>
    </xf>
    <xf numFmtId="176" fontId="100" fillId="33" borderId="11" xfId="55" applyNumberFormat="1" applyFont="1" applyFill="1" applyBorder="1" applyAlignment="1">
      <alignment vertical="center" wrapText="1"/>
      <protection/>
    </xf>
    <xf numFmtId="176" fontId="100" fillId="33" borderId="13" xfId="55" applyNumberFormat="1" applyFont="1" applyFill="1" applyBorder="1" applyAlignment="1">
      <alignment vertical="center" wrapText="1"/>
      <protection/>
    </xf>
    <xf numFmtId="0" fontId="100" fillId="33" borderId="11" xfId="55" applyFont="1" applyFill="1" applyBorder="1" applyAlignment="1">
      <alignment horizontal="center" vertical="center" wrapText="1"/>
      <protection/>
    </xf>
    <xf numFmtId="3" fontId="100" fillId="33" borderId="11" xfId="55" applyNumberFormat="1" applyFont="1" applyFill="1" applyBorder="1" applyAlignment="1">
      <alignment vertical="center" wrapText="1"/>
      <protection/>
    </xf>
    <xf numFmtId="0" fontId="110" fillId="33" borderId="11" xfId="55" applyFont="1" applyFill="1" applyBorder="1" applyAlignment="1">
      <alignment horizontal="center" vertical="center" wrapText="1"/>
      <protection/>
    </xf>
    <xf numFmtId="0" fontId="114" fillId="33" borderId="11" xfId="55" applyFont="1" applyFill="1" applyBorder="1">
      <alignment/>
      <protection/>
    </xf>
    <xf numFmtId="3" fontId="110" fillId="33" borderId="11" xfId="55" applyNumberFormat="1" applyFont="1" applyFill="1" applyBorder="1" applyAlignment="1">
      <alignment vertical="center" wrapText="1"/>
      <protection/>
    </xf>
    <xf numFmtId="176" fontId="110" fillId="33" borderId="11" xfId="55" applyNumberFormat="1" applyFont="1" applyFill="1" applyBorder="1" applyAlignment="1">
      <alignment vertical="center" wrapText="1"/>
      <protection/>
    </xf>
    <xf numFmtId="176" fontId="110" fillId="33" borderId="11" xfId="55" applyNumberFormat="1" applyFont="1" applyFill="1" applyBorder="1" applyAlignment="1">
      <alignment horizontal="right" vertical="center"/>
      <protection/>
    </xf>
    <xf numFmtId="176" fontId="110" fillId="33" borderId="13" xfId="55" applyNumberFormat="1" applyFont="1" applyFill="1" applyBorder="1" applyAlignment="1">
      <alignment horizontal="right" vertical="center"/>
      <protection/>
    </xf>
    <xf numFmtId="0" fontId="104" fillId="33" borderId="13" xfId="53" applyFont="1" applyFill="1" applyBorder="1" applyAlignment="1">
      <alignment horizontal="center" vertical="center" wrapText="1"/>
      <protection/>
    </xf>
    <xf numFmtId="0" fontId="104" fillId="33" borderId="10" xfId="53" applyFont="1" applyFill="1" applyBorder="1" applyAlignment="1">
      <alignment horizontal="center" vertical="center" wrapText="1"/>
      <protection/>
    </xf>
    <xf numFmtId="0" fontId="121" fillId="0" borderId="14" xfId="0" applyNumberFormat="1" applyFont="1" applyFill="1" applyBorder="1" applyAlignment="1" applyProtection="1">
      <alignment horizontal="center" vertical="center" wrapText="1"/>
      <protection/>
    </xf>
    <xf numFmtId="0" fontId="121" fillId="0" borderId="10" xfId="0" applyNumberFormat="1" applyFont="1" applyFill="1" applyBorder="1" applyAlignment="1" applyProtection="1">
      <alignment horizontal="center" vertical="center" wrapText="1"/>
      <protection/>
    </xf>
    <xf numFmtId="3" fontId="100" fillId="33" borderId="10" xfId="53" applyNumberFormat="1" applyFont="1" applyFill="1" applyBorder="1" applyAlignment="1">
      <alignment horizontal="right" vertical="center"/>
      <protection/>
    </xf>
    <xf numFmtId="49" fontId="100" fillId="34" borderId="0" xfId="55" applyNumberFormat="1" applyFont="1" applyFill="1" applyAlignment="1">
      <alignment horizontal="center" vertical="center"/>
      <protection/>
    </xf>
    <xf numFmtId="0" fontId="117" fillId="33" borderId="0" xfId="55" applyFont="1" applyFill="1">
      <alignment/>
      <protection/>
    </xf>
    <xf numFmtId="49" fontId="100" fillId="34" borderId="0" xfId="55" applyNumberFormat="1" applyFont="1" applyFill="1" applyAlignment="1">
      <alignment vertical="center"/>
      <protection/>
    </xf>
    <xf numFmtId="3" fontId="100" fillId="34" borderId="0" xfId="55" applyNumberFormat="1" applyFont="1" applyFill="1" applyAlignment="1">
      <alignment horizontal="right" vertical="center"/>
      <protection/>
    </xf>
    <xf numFmtId="3" fontId="120" fillId="33" borderId="10" xfId="53" applyNumberFormat="1" applyFont="1" applyFill="1" applyBorder="1" applyAlignment="1">
      <alignment horizontal="right" vertical="center"/>
      <protection/>
    </xf>
    <xf numFmtId="3" fontId="110" fillId="33" borderId="10" xfId="53" applyNumberFormat="1" applyFont="1" applyFill="1" applyBorder="1" applyAlignment="1">
      <alignment horizontal="right" vertical="center"/>
      <protection/>
    </xf>
    <xf numFmtId="0" fontId="114" fillId="0" borderId="0" xfId="55" applyFont="1">
      <alignment/>
      <protection/>
    </xf>
    <xf numFmtId="0" fontId="115" fillId="0" borderId="0" xfId="55" applyFont="1">
      <alignment/>
      <protection/>
    </xf>
    <xf numFmtId="0" fontId="122" fillId="0" borderId="0" xfId="55" applyFont="1">
      <alignment/>
      <protection/>
    </xf>
    <xf numFmtId="0" fontId="123" fillId="0" borderId="0" xfId="55" applyFont="1">
      <alignment/>
      <protection/>
    </xf>
    <xf numFmtId="0" fontId="123" fillId="0" borderId="0" xfId="55" applyFont="1" applyAlignment="1">
      <alignment horizontal="right"/>
      <protection/>
    </xf>
    <xf numFmtId="0" fontId="115" fillId="0" borderId="0" xfId="55" applyFont="1" applyAlignment="1">
      <alignment horizontal="right"/>
      <protection/>
    </xf>
    <xf numFmtId="0" fontId="117" fillId="0" borderId="0" xfId="55" applyFont="1">
      <alignment/>
      <protection/>
    </xf>
    <xf numFmtId="0" fontId="100" fillId="33" borderId="0" xfId="51" applyFont="1" applyFill="1" applyAlignment="1">
      <alignment vertical="center" wrapText="1"/>
      <protection/>
    </xf>
    <xf numFmtId="0" fontId="100" fillId="33" borderId="0" xfId="51" applyFont="1" applyFill="1" applyAlignment="1">
      <alignment horizontal="center" vertical="center" wrapText="1"/>
      <protection/>
    </xf>
    <xf numFmtId="0" fontId="110" fillId="33" borderId="0" xfId="51" applyFont="1" applyFill="1" applyAlignment="1">
      <alignment vertical="center" wrapText="1"/>
      <protection/>
    </xf>
    <xf numFmtId="0" fontId="104" fillId="33" borderId="13" xfId="51" applyFont="1" applyFill="1" applyBorder="1" applyAlignment="1">
      <alignment horizontal="center" vertical="center" wrapText="1"/>
      <protection/>
    </xf>
    <xf numFmtId="0" fontId="100" fillId="35" borderId="15" xfId="55" applyFont="1" applyFill="1" applyBorder="1" applyAlignment="1">
      <alignment horizontal="center" vertical="center" wrapText="1"/>
      <protection/>
    </xf>
    <xf numFmtId="0" fontId="100" fillId="35" borderId="16" xfId="55" applyFont="1" applyFill="1" applyBorder="1" applyAlignment="1">
      <alignment horizontal="center" vertical="center" wrapText="1"/>
      <protection/>
    </xf>
    <xf numFmtId="3" fontId="104" fillId="35" borderId="13" xfId="55" applyNumberFormat="1" applyFont="1" applyFill="1" applyBorder="1" applyAlignment="1">
      <alignment horizontal="center" vertical="center" wrapText="1"/>
      <protection/>
    </xf>
    <xf numFmtId="3" fontId="104" fillId="35" borderId="10" xfId="55" applyNumberFormat="1" applyFont="1" applyFill="1" applyBorder="1" applyAlignment="1">
      <alignment horizontal="center" vertical="center" wrapText="1"/>
      <protection/>
    </xf>
    <xf numFmtId="0" fontId="124" fillId="33" borderId="13" xfId="51" applyFont="1" applyFill="1" applyBorder="1" applyAlignment="1">
      <alignment horizontal="center" vertical="center" wrapText="1"/>
      <protection/>
    </xf>
    <xf numFmtId="0" fontId="124" fillId="33" borderId="10" xfId="51" applyFont="1" applyFill="1" applyBorder="1" applyAlignment="1">
      <alignment horizontal="center" vertical="center" wrapText="1"/>
      <protection/>
    </xf>
    <xf numFmtId="3" fontId="124" fillId="35" borderId="17" xfId="55" applyNumberFormat="1" applyFont="1" applyFill="1" applyBorder="1" applyAlignment="1">
      <alignment horizontal="center" vertical="center" wrapText="1"/>
      <protection/>
    </xf>
    <xf numFmtId="3" fontId="124" fillId="35" borderId="11" xfId="55" applyNumberFormat="1" applyFont="1" applyFill="1" applyBorder="1" applyAlignment="1">
      <alignment horizontal="center" vertical="center" wrapText="1"/>
      <protection/>
    </xf>
    <xf numFmtId="3" fontId="124" fillId="35" borderId="13" xfId="55" applyNumberFormat="1" applyFont="1" applyFill="1" applyBorder="1" applyAlignment="1">
      <alignment horizontal="center" vertical="center" wrapText="1"/>
      <protection/>
    </xf>
    <xf numFmtId="3" fontId="124" fillId="35" borderId="10" xfId="55" applyNumberFormat="1" applyFont="1" applyFill="1" applyBorder="1" applyAlignment="1">
      <alignment horizontal="center" vertical="center" wrapText="1"/>
      <protection/>
    </xf>
    <xf numFmtId="0" fontId="99" fillId="14" borderId="13" xfId="51" applyFont="1" applyFill="1" applyBorder="1" applyAlignment="1">
      <alignment horizontal="center" vertical="center" wrapText="1"/>
      <protection/>
    </xf>
    <xf numFmtId="176" fontId="99" fillId="38" borderId="10" xfId="55" applyNumberFormat="1" applyFont="1" applyFill="1" applyBorder="1" applyAlignment="1">
      <alignment horizontal="right" vertical="center" wrapText="1"/>
      <protection/>
    </xf>
    <xf numFmtId="176" fontId="99" fillId="38" borderId="17" xfId="55" applyNumberFormat="1" applyFont="1" applyFill="1" applyBorder="1" applyAlignment="1">
      <alignment horizontal="right" vertical="center" wrapText="1"/>
      <protection/>
    </xf>
    <xf numFmtId="176" fontId="99" fillId="38" borderId="11" xfId="55" applyNumberFormat="1" applyFont="1" applyFill="1" applyBorder="1" applyAlignment="1">
      <alignment horizontal="right" vertical="center" wrapText="1"/>
      <protection/>
    </xf>
    <xf numFmtId="3" fontId="104" fillId="14" borderId="13" xfId="51" applyNumberFormat="1" applyFont="1" applyFill="1" applyBorder="1" applyAlignment="1">
      <alignment horizontal="right" vertical="center"/>
      <protection/>
    </xf>
    <xf numFmtId="3" fontId="104" fillId="14" borderId="10" xfId="51" applyNumberFormat="1" applyFont="1" applyFill="1" applyBorder="1" applyAlignment="1">
      <alignment horizontal="right" vertical="center"/>
      <protection/>
    </xf>
    <xf numFmtId="49" fontId="104" fillId="0" borderId="13" xfId="54" applyNumberFormat="1" applyFont="1" applyBorder="1" applyAlignment="1">
      <alignment vertical="center" wrapText="1"/>
      <protection/>
    </xf>
    <xf numFmtId="176" fontId="104" fillId="0" borderId="10" xfId="54" applyNumberFormat="1" applyFont="1" applyBorder="1" applyAlignment="1">
      <alignment horizontal="right" vertical="center"/>
      <protection/>
    </xf>
    <xf numFmtId="176" fontId="104" fillId="0" borderId="17" xfId="54" applyNumberFormat="1" applyFont="1" applyBorder="1" applyAlignment="1">
      <alignment horizontal="right" vertical="center"/>
      <protection/>
    </xf>
    <xf numFmtId="176" fontId="104" fillId="0" borderId="11" xfId="54" applyNumberFormat="1" applyFont="1" applyBorder="1" applyAlignment="1">
      <alignment horizontal="right" vertical="center"/>
      <protection/>
    </xf>
    <xf numFmtId="3" fontId="104" fillId="0" borderId="13" xfId="51" applyNumberFormat="1" applyFont="1" applyFill="1" applyBorder="1" applyAlignment="1">
      <alignment horizontal="right" vertical="center"/>
      <protection/>
    </xf>
    <xf numFmtId="3" fontId="104" fillId="0" borderId="10" xfId="51" applyNumberFormat="1" applyFont="1" applyFill="1" applyBorder="1" applyAlignment="1">
      <alignment horizontal="right" vertical="center"/>
      <protection/>
    </xf>
    <xf numFmtId="49" fontId="105" fillId="0" borderId="13" xfId="54" applyNumberFormat="1" applyFont="1" applyBorder="1" applyAlignment="1">
      <alignment vertical="center" wrapText="1"/>
      <protection/>
    </xf>
    <xf numFmtId="176" fontId="105" fillId="0" borderId="10" xfId="54" applyNumberFormat="1" applyFont="1" applyBorder="1" applyAlignment="1">
      <alignment horizontal="right" vertical="center"/>
      <protection/>
    </xf>
    <xf numFmtId="176" fontId="105" fillId="0" borderId="17" xfId="54" applyNumberFormat="1" applyFont="1" applyBorder="1" applyAlignment="1">
      <alignment horizontal="right" vertical="center"/>
      <protection/>
    </xf>
    <xf numFmtId="176" fontId="105" fillId="0" borderId="11" xfId="54" applyNumberFormat="1" applyFont="1" applyBorder="1" applyAlignment="1">
      <alignment horizontal="right" vertical="center"/>
      <protection/>
    </xf>
    <xf numFmtId="3" fontId="105" fillId="0" borderId="13" xfId="51" applyNumberFormat="1" applyFont="1" applyFill="1" applyBorder="1" applyAlignment="1">
      <alignment horizontal="right" vertical="center"/>
      <protection/>
    </xf>
    <xf numFmtId="3" fontId="105" fillId="0" borderId="10" xfId="51" applyNumberFormat="1" applyFont="1" applyFill="1" applyBorder="1" applyAlignment="1">
      <alignment horizontal="right" vertical="center"/>
      <protection/>
    </xf>
    <xf numFmtId="49" fontId="104" fillId="0" borderId="18" xfId="54" applyNumberFormat="1" applyFont="1" applyBorder="1" applyAlignment="1">
      <alignment vertical="center" wrapText="1"/>
      <protection/>
    </xf>
    <xf numFmtId="176" fontId="104" fillId="0" borderId="19" xfId="54" applyNumberFormat="1" applyFont="1" applyBorder="1" applyAlignment="1">
      <alignment horizontal="right" vertical="center"/>
      <protection/>
    </xf>
    <xf numFmtId="176" fontId="104" fillId="0" borderId="20" xfId="54" applyNumberFormat="1" applyFont="1" applyBorder="1" applyAlignment="1">
      <alignment horizontal="right" vertical="center"/>
      <protection/>
    </xf>
    <xf numFmtId="49" fontId="105" fillId="33" borderId="21" xfId="51" applyNumberFormat="1" applyFont="1" applyFill="1" applyBorder="1" applyAlignment="1">
      <alignment vertical="center" wrapText="1"/>
      <protection/>
    </xf>
    <xf numFmtId="176" fontId="105" fillId="33" borderId="10" xfId="51" applyNumberFormat="1" applyFont="1" applyFill="1" applyBorder="1" applyAlignment="1">
      <alignment horizontal="right" vertical="center" wrapText="1"/>
      <protection/>
    </xf>
    <xf numFmtId="176" fontId="105" fillId="33" borderId="22" xfId="51" applyNumberFormat="1" applyFont="1" applyFill="1" applyBorder="1" applyAlignment="1">
      <alignment horizontal="right" vertical="center" wrapText="1"/>
      <protection/>
    </xf>
    <xf numFmtId="0" fontId="112" fillId="0" borderId="21" xfId="55" applyFont="1" applyFill="1" applyBorder="1">
      <alignment/>
      <protection/>
    </xf>
    <xf numFmtId="176" fontId="114" fillId="0" borderId="0" xfId="55" applyNumberFormat="1" applyFont="1">
      <alignment/>
      <protection/>
    </xf>
    <xf numFmtId="3" fontId="105" fillId="0" borderId="0" xfId="55" applyNumberFormat="1" applyFont="1" applyAlignment="1">
      <alignment vertical="center"/>
      <protection/>
    </xf>
    <xf numFmtId="0" fontId="115" fillId="0" borderId="0" xfId="55" applyFont="1" applyAlignment="1">
      <alignment vertical="center"/>
      <protection/>
    </xf>
    <xf numFmtId="0" fontId="123" fillId="0" borderId="0" xfId="55" applyFont="1" applyAlignment="1">
      <alignment vertical="center"/>
      <protection/>
    </xf>
    <xf numFmtId="0" fontId="125" fillId="0" borderId="0" xfId="55" applyFont="1" applyAlignment="1">
      <alignment vertical="center"/>
      <protection/>
    </xf>
    <xf numFmtId="0" fontId="126" fillId="0" borderId="0" xfId="55" applyFont="1" applyAlignment="1">
      <alignment vertical="center"/>
      <protection/>
    </xf>
    <xf numFmtId="0" fontId="108" fillId="0" borderId="0" xfId="55" applyFont="1" applyAlignment="1">
      <alignment vertical="center"/>
      <protection/>
    </xf>
    <xf numFmtId="0" fontId="108" fillId="33" borderId="0" xfId="55" applyFont="1" applyFill="1" applyAlignment="1">
      <alignment vertical="center"/>
      <protection/>
    </xf>
    <xf numFmtId="0" fontId="127" fillId="33" borderId="0" xfId="55" applyFont="1" applyFill="1" applyAlignment="1">
      <alignment vertical="center"/>
      <protection/>
    </xf>
    <xf numFmtId="0" fontId="123" fillId="33" borderId="0" xfId="55" applyFont="1" applyFill="1" applyAlignment="1">
      <alignment vertical="center"/>
      <protection/>
    </xf>
    <xf numFmtId="0" fontId="115" fillId="33" borderId="0" xfId="55" applyFont="1" applyFill="1" applyAlignment="1">
      <alignment vertical="center"/>
      <protection/>
    </xf>
    <xf numFmtId="0" fontId="107" fillId="33" borderId="0" xfId="55" applyFont="1" applyFill="1" applyAlignment="1">
      <alignment vertical="center"/>
      <protection/>
    </xf>
    <xf numFmtId="3" fontId="128" fillId="0" borderId="0" xfId="55" applyNumberFormat="1" applyFont="1" applyAlignment="1">
      <alignment vertical="center"/>
      <protection/>
    </xf>
    <xf numFmtId="3" fontId="104" fillId="0" borderId="0" xfId="55" applyNumberFormat="1" applyFont="1" applyAlignment="1">
      <alignment vertical="center"/>
      <protection/>
    </xf>
    <xf numFmtId="3" fontId="106" fillId="0" borderId="0" xfId="55" applyNumberFormat="1" applyFont="1" applyAlignment="1">
      <alignment vertical="center"/>
      <protection/>
    </xf>
    <xf numFmtId="3" fontId="105" fillId="0" borderId="0" xfId="55" applyNumberFormat="1" applyFont="1" applyFill="1" applyAlignment="1">
      <alignment vertical="center"/>
      <protection/>
    </xf>
    <xf numFmtId="176" fontId="105" fillId="0" borderId="0" xfId="55" applyNumberFormat="1" applyFont="1" applyAlignment="1">
      <alignment horizontal="center" vertical="center"/>
      <protection/>
    </xf>
    <xf numFmtId="3" fontId="99" fillId="35" borderId="0" xfId="55" applyNumberFormat="1" applyFont="1" applyFill="1" applyAlignment="1">
      <alignment horizontal="center" vertical="center"/>
      <protection/>
    </xf>
    <xf numFmtId="176" fontId="99" fillId="35" borderId="0" xfId="55" applyNumberFormat="1" applyFont="1" applyFill="1" applyAlignment="1">
      <alignment horizontal="center" vertical="center"/>
      <protection/>
    </xf>
    <xf numFmtId="3" fontId="104" fillId="37" borderId="10" xfId="55" applyNumberFormat="1" applyFont="1" applyFill="1" applyBorder="1" applyAlignment="1">
      <alignment horizontal="center" vertical="center" wrapText="1"/>
      <protection/>
    </xf>
    <xf numFmtId="3" fontId="104" fillId="35" borderId="10" xfId="55" applyNumberFormat="1" applyFont="1" applyFill="1" applyBorder="1" applyAlignment="1">
      <alignment horizontal="center" vertical="center"/>
      <protection/>
    </xf>
    <xf numFmtId="176" fontId="100" fillId="35" borderId="12" xfId="55" applyNumberFormat="1" applyFont="1" applyFill="1" applyBorder="1" applyAlignment="1">
      <alignment horizontal="center" vertical="center" wrapText="1"/>
      <protection/>
    </xf>
    <xf numFmtId="176" fontId="129" fillId="35" borderId="12" xfId="55" applyNumberFormat="1" applyFont="1" applyFill="1" applyBorder="1" applyAlignment="1">
      <alignment horizontal="center" vertical="center" wrapText="1"/>
      <protection/>
    </xf>
    <xf numFmtId="0" fontId="129" fillId="35" borderId="10" xfId="55" applyFont="1" applyFill="1" applyBorder="1" applyAlignment="1">
      <alignment horizontal="center" vertical="center" wrapText="1"/>
      <protection/>
    </xf>
    <xf numFmtId="0" fontId="124" fillId="34" borderId="10" xfId="55" applyFont="1" applyFill="1" applyBorder="1" applyAlignment="1">
      <alignment horizontal="center" vertical="center" wrapText="1"/>
      <protection/>
    </xf>
    <xf numFmtId="0" fontId="124" fillId="34" borderId="10" xfId="67" applyNumberFormat="1" applyFont="1" applyFill="1" applyBorder="1" applyAlignment="1">
      <alignment horizontal="center" vertical="center" wrapText="1"/>
    </xf>
    <xf numFmtId="0" fontId="130" fillId="0" borderId="10" xfId="55" applyFont="1" applyBorder="1" applyAlignment="1">
      <alignment horizontal="center" vertical="center"/>
      <protection/>
    </xf>
    <xf numFmtId="49" fontId="104" fillId="38" borderId="23" xfId="55" applyNumberFormat="1" applyFont="1" applyFill="1" applyBorder="1" applyAlignment="1">
      <alignment horizontal="center" vertical="center"/>
      <protection/>
    </xf>
    <xf numFmtId="0" fontId="104" fillId="14" borderId="23" xfId="55" applyFont="1" applyFill="1" applyBorder="1" applyAlignment="1">
      <alignment vertical="center"/>
      <protection/>
    </xf>
    <xf numFmtId="49" fontId="104" fillId="38" borderId="23" xfId="55" applyNumberFormat="1" applyFont="1" applyFill="1" applyBorder="1" applyAlignment="1">
      <alignment vertical="center"/>
      <protection/>
    </xf>
    <xf numFmtId="176" fontId="104" fillId="38" borderId="23" xfId="55" applyNumberFormat="1" applyFont="1" applyFill="1" applyBorder="1" applyAlignment="1">
      <alignment horizontal="right" vertical="center" wrapText="1"/>
      <protection/>
    </xf>
    <xf numFmtId="0" fontId="104" fillId="0" borderId="10" xfId="55" applyFont="1" applyBorder="1" applyAlignment="1">
      <alignment vertical="center"/>
      <protection/>
    </xf>
    <xf numFmtId="49" fontId="104" fillId="39" borderId="10" xfId="55" applyNumberFormat="1" applyFont="1" applyFill="1" applyBorder="1" applyAlignment="1">
      <alignment horizontal="right" vertical="center"/>
      <protection/>
    </xf>
    <xf numFmtId="0" fontId="104" fillId="2" borderId="10" xfId="55" applyFont="1" applyFill="1" applyBorder="1" applyAlignment="1">
      <alignment vertical="center"/>
      <protection/>
    </xf>
    <xf numFmtId="49" fontId="104" fillId="39" borderId="10" xfId="55" applyNumberFormat="1" applyFont="1" applyFill="1" applyBorder="1" applyAlignment="1">
      <alignment vertical="center"/>
      <protection/>
    </xf>
    <xf numFmtId="176" fontId="104" fillId="39" borderId="10" xfId="55" applyNumberFormat="1" applyFont="1" applyFill="1" applyBorder="1" applyAlignment="1">
      <alignment horizontal="right" vertical="center"/>
      <protection/>
    </xf>
    <xf numFmtId="49" fontId="104" fillId="0" borderId="10" xfId="55" applyNumberFormat="1" applyFont="1" applyBorder="1" applyAlignment="1">
      <alignment horizontal="right" vertical="center"/>
      <protection/>
    </xf>
    <xf numFmtId="176" fontId="104" fillId="0" borderId="10" xfId="55" applyNumberFormat="1" applyFont="1" applyBorder="1" applyAlignment="1">
      <alignment horizontal="right" vertical="center"/>
      <protection/>
    </xf>
    <xf numFmtId="49" fontId="105" fillId="0" borderId="10" xfId="55" applyNumberFormat="1" applyFont="1" applyBorder="1" applyAlignment="1">
      <alignment horizontal="right" vertical="center"/>
      <protection/>
    </xf>
    <xf numFmtId="176" fontId="105" fillId="0" borderId="10" xfId="55" applyNumberFormat="1" applyFont="1" applyBorder="1" applyAlignment="1">
      <alignment horizontal="right" vertical="center"/>
      <protection/>
    </xf>
    <xf numFmtId="49" fontId="104" fillId="35" borderId="10" xfId="55" applyNumberFormat="1" applyFont="1" applyFill="1" applyBorder="1" applyAlignment="1">
      <alignment horizontal="right" vertical="center"/>
      <protection/>
    </xf>
    <xf numFmtId="49" fontId="105" fillId="35" borderId="10" xfId="55" applyNumberFormat="1" applyFont="1" applyFill="1" applyBorder="1" applyAlignment="1">
      <alignment horizontal="right" vertical="center"/>
      <protection/>
    </xf>
    <xf numFmtId="0" fontId="105" fillId="0" borderId="10" xfId="55" applyFont="1" applyBorder="1" applyAlignment="1">
      <alignment vertical="center" wrapText="1"/>
      <protection/>
    </xf>
    <xf numFmtId="0" fontId="104" fillId="0" borderId="10" xfId="55" applyFont="1" applyBorder="1" applyAlignment="1">
      <alignment vertical="center" wrapText="1"/>
      <protection/>
    </xf>
    <xf numFmtId="0" fontId="105" fillId="35" borderId="10" xfId="55" applyFont="1" applyFill="1" applyBorder="1" applyAlignment="1">
      <alignment horizontal="right" vertical="center"/>
      <protection/>
    </xf>
    <xf numFmtId="0" fontId="115" fillId="0" borderId="10" xfId="55" applyFont="1" applyBorder="1" applyAlignment="1">
      <alignment vertical="center"/>
      <protection/>
    </xf>
    <xf numFmtId="49" fontId="105" fillId="35" borderId="10" xfId="55" applyNumberFormat="1" applyFont="1" applyFill="1" applyBorder="1" applyAlignment="1">
      <alignment horizontal="left" vertical="center"/>
      <protection/>
    </xf>
    <xf numFmtId="0" fontId="123" fillId="0" borderId="10" xfId="55" applyFont="1" applyBorder="1" applyAlignment="1">
      <alignment vertical="center"/>
      <protection/>
    </xf>
    <xf numFmtId="49" fontId="104" fillId="35" borderId="10" xfId="55" applyNumberFormat="1" applyFont="1" applyFill="1" applyBorder="1" applyAlignment="1">
      <alignment horizontal="left" vertical="center" wrapText="1"/>
      <protection/>
    </xf>
    <xf numFmtId="49" fontId="105" fillId="35" borderId="10" xfId="55" applyNumberFormat="1" applyFont="1" applyFill="1" applyBorder="1" applyAlignment="1">
      <alignment horizontal="left" vertical="center" wrapText="1"/>
      <protection/>
    </xf>
    <xf numFmtId="0" fontId="104" fillId="35" borderId="10" xfId="55" applyFont="1" applyFill="1" applyBorder="1" applyAlignment="1">
      <alignment horizontal="right" vertical="center"/>
      <protection/>
    </xf>
    <xf numFmtId="49" fontId="104" fillId="35" borderId="10" xfId="55" applyNumberFormat="1" applyFont="1" applyFill="1" applyBorder="1" applyAlignment="1">
      <alignment horizontal="left" vertical="center"/>
      <protection/>
    </xf>
    <xf numFmtId="0" fontId="105" fillId="0" borderId="10" xfId="55" applyFont="1" applyBorder="1" applyAlignment="1">
      <alignment horizontal="right" vertical="center"/>
      <protection/>
    </xf>
    <xf numFmtId="49" fontId="105" fillId="0" borderId="10" xfId="55" applyNumberFormat="1" applyFont="1" applyBorder="1" applyAlignment="1">
      <alignment horizontal="left" vertical="center"/>
      <protection/>
    </xf>
    <xf numFmtId="176" fontId="104" fillId="2" borderId="10" xfId="55" applyNumberFormat="1" applyFont="1" applyFill="1" applyBorder="1" applyAlignment="1">
      <alignment horizontal="right" vertical="center"/>
      <protection/>
    </xf>
    <xf numFmtId="0" fontId="104" fillId="2" borderId="10" xfId="55" applyFont="1" applyFill="1" applyBorder="1" applyAlignment="1">
      <alignment horizontal="right" vertical="center"/>
      <protection/>
    </xf>
    <xf numFmtId="0" fontId="123" fillId="2" borderId="10" xfId="55" applyFont="1" applyFill="1" applyBorder="1" applyAlignment="1">
      <alignment vertical="center"/>
      <protection/>
    </xf>
    <xf numFmtId="49" fontId="104" fillId="2" borderId="10" xfId="55" applyNumberFormat="1" applyFont="1" applyFill="1" applyBorder="1" applyAlignment="1">
      <alignment horizontal="left" vertical="center"/>
      <protection/>
    </xf>
    <xf numFmtId="0" fontId="104" fillId="0" borderId="10" xfId="55" applyFont="1" applyBorder="1" applyAlignment="1">
      <alignment horizontal="right" vertical="center"/>
      <protection/>
    </xf>
    <xf numFmtId="49" fontId="104" fillId="0" borderId="10" xfId="55" applyNumberFormat="1" applyFont="1" applyBorder="1" applyAlignment="1">
      <alignment horizontal="left" vertical="center"/>
      <protection/>
    </xf>
    <xf numFmtId="0" fontId="107" fillId="2" borderId="10" xfId="55" applyFont="1" applyFill="1" applyBorder="1">
      <alignment/>
      <protection/>
    </xf>
    <xf numFmtId="0" fontId="100" fillId="33" borderId="0" xfId="51" applyFont="1" applyFill="1" applyAlignment="1">
      <alignment vertical="center"/>
      <protection/>
    </xf>
    <xf numFmtId="3" fontId="112" fillId="0" borderId="10" xfId="55" applyNumberFormat="1" applyFont="1" applyBorder="1" applyAlignment="1">
      <alignment horizontal="center" vertical="center" wrapText="1"/>
      <protection/>
    </xf>
    <xf numFmtId="3" fontId="113" fillId="0" borderId="0" xfId="55" applyNumberFormat="1" applyFont="1" applyAlignment="1">
      <alignment vertical="center"/>
      <protection/>
    </xf>
    <xf numFmtId="3" fontId="124" fillId="0" borderId="10" xfId="55" applyNumberFormat="1" applyFont="1" applyBorder="1" applyAlignment="1">
      <alignment horizontal="center" vertical="center" wrapText="1"/>
      <protection/>
    </xf>
    <xf numFmtId="3" fontId="124" fillId="0" borderId="10" xfId="55" applyNumberFormat="1" applyFont="1" applyBorder="1" applyAlignment="1">
      <alignment horizontal="center" vertical="center"/>
      <protection/>
    </xf>
    <xf numFmtId="3" fontId="104" fillId="14" borderId="10" xfId="55" applyNumberFormat="1" applyFont="1" applyFill="1" applyBorder="1" applyAlignment="1">
      <alignment horizontal="right" vertical="center"/>
      <protection/>
    </xf>
    <xf numFmtId="3" fontId="104" fillId="0" borderId="10" xfId="55" applyNumberFormat="1" applyFont="1" applyFill="1" applyBorder="1" applyAlignment="1">
      <alignment horizontal="right" vertical="center"/>
      <protection/>
    </xf>
    <xf numFmtId="3" fontId="104" fillId="2" borderId="10" xfId="55" applyNumberFormat="1" applyFont="1" applyFill="1" applyBorder="1" applyAlignment="1">
      <alignment horizontal="right" vertical="center"/>
      <protection/>
    </xf>
    <xf numFmtId="3" fontId="105" fillId="0" borderId="10" xfId="55" applyNumberFormat="1" applyFont="1" applyBorder="1" applyAlignment="1">
      <alignment horizontal="right" vertical="center"/>
      <protection/>
    </xf>
    <xf numFmtId="3" fontId="131" fillId="0" borderId="0" xfId="55" applyNumberFormat="1" applyFont="1" applyAlignment="1">
      <alignment vertical="center"/>
      <protection/>
    </xf>
    <xf numFmtId="3" fontId="104" fillId="0" borderId="10" xfId="55" applyNumberFormat="1" applyFont="1" applyBorder="1" applyAlignment="1">
      <alignment horizontal="right" vertical="center"/>
      <protection/>
    </xf>
    <xf numFmtId="3" fontId="99" fillId="0" borderId="0" xfId="55" applyNumberFormat="1" applyFont="1" applyAlignment="1">
      <alignment vertical="center"/>
      <protection/>
    </xf>
    <xf numFmtId="3" fontId="108" fillId="0" borderId="0" xfId="55" applyNumberFormat="1" applyFont="1" applyAlignment="1">
      <alignment vertical="center"/>
      <protection/>
    </xf>
    <xf numFmtId="3" fontId="105" fillId="0" borderId="0" xfId="55" applyNumberFormat="1" applyFont="1" applyAlignment="1">
      <alignment horizontal="right" vertical="center"/>
      <protection/>
    </xf>
    <xf numFmtId="0" fontId="107" fillId="0" borderId="10" xfId="55" applyFont="1" applyBorder="1">
      <alignment/>
      <protection/>
    </xf>
    <xf numFmtId="0" fontId="106" fillId="0" borderId="10" xfId="55" applyFont="1" applyBorder="1">
      <alignment/>
      <protection/>
    </xf>
    <xf numFmtId="49" fontId="104" fillId="0" borderId="10" xfId="55" applyNumberFormat="1" applyFont="1" applyFill="1" applyBorder="1" applyAlignment="1">
      <alignment horizontal="right" vertical="center"/>
      <protection/>
    </xf>
    <xf numFmtId="0" fontId="104" fillId="0" borderId="10" xfId="55" applyFont="1" applyFill="1" applyBorder="1" applyAlignment="1">
      <alignment vertical="center"/>
      <protection/>
    </xf>
    <xf numFmtId="49" fontId="104" fillId="0" borderId="10" xfId="55" applyNumberFormat="1" applyFont="1" applyFill="1" applyBorder="1" applyAlignment="1">
      <alignment vertical="center"/>
      <protection/>
    </xf>
    <xf numFmtId="176" fontId="104" fillId="0" borderId="10" xfId="55" applyNumberFormat="1" applyFont="1" applyFill="1" applyBorder="1" applyAlignment="1">
      <alignment horizontal="right" vertical="center"/>
      <protection/>
    </xf>
    <xf numFmtId="49" fontId="105" fillId="0" borderId="10" xfId="55" applyNumberFormat="1" applyFont="1" applyFill="1" applyBorder="1" applyAlignment="1">
      <alignment horizontal="right" vertical="center"/>
      <protection/>
    </xf>
    <xf numFmtId="0" fontId="105" fillId="0" borderId="10" xfId="55" applyFont="1" applyFill="1" applyBorder="1" applyAlignment="1">
      <alignment vertical="center"/>
      <protection/>
    </xf>
    <xf numFmtId="49" fontId="105" fillId="0" borderId="10" xfId="55" applyNumberFormat="1" applyFont="1" applyFill="1" applyBorder="1" applyAlignment="1">
      <alignment vertical="center"/>
      <protection/>
    </xf>
    <xf numFmtId="176" fontId="105" fillId="0" borderId="10" xfId="55" applyNumberFormat="1" applyFont="1" applyFill="1" applyBorder="1" applyAlignment="1">
      <alignment horizontal="right" vertical="center"/>
      <protection/>
    </xf>
    <xf numFmtId="49" fontId="104" fillId="38" borderId="10" xfId="55" applyNumberFormat="1" applyFont="1" applyFill="1" applyBorder="1" applyAlignment="1">
      <alignment horizontal="center" vertical="center"/>
      <protection/>
    </xf>
    <xf numFmtId="0" fontId="104" fillId="38" borderId="10" xfId="55" applyFont="1" applyFill="1" applyBorder="1" applyAlignment="1">
      <alignment horizontal="right" vertical="center"/>
      <protection/>
    </xf>
    <xf numFmtId="49" fontId="104" fillId="38" borderId="10" xfId="55" applyNumberFormat="1" applyFont="1" applyFill="1" applyBorder="1" applyAlignment="1">
      <alignment horizontal="right" vertical="center"/>
      <protection/>
    </xf>
    <xf numFmtId="49" fontId="104" fillId="38" borderId="10" xfId="55" applyNumberFormat="1" applyFont="1" applyFill="1" applyBorder="1" applyAlignment="1">
      <alignment vertical="center"/>
      <protection/>
    </xf>
    <xf numFmtId="176" fontId="104" fillId="14" borderId="10" xfId="55" applyNumberFormat="1" applyFont="1" applyFill="1" applyBorder="1" applyAlignment="1">
      <alignment horizontal="right" vertical="center"/>
      <protection/>
    </xf>
    <xf numFmtId="49" fontId="104" fillId="35" borderId="10" xfId="55" applyNumberFormat="1" applyFont="1" applyFill="1" applyBorder="1" applyAlignment="1">
      <alignment horizontal="center" vertical="center"/>
      <protection/>
    </xf>
    <xf numFmtId="49" fontId="104" fillId="39" borderId="10" xfId="55" applyNumberFormat="1" applyFont="1" applyFill="1" applyBorder="1" applyAlignment="1">
      <alignment vertical="center" wrapText="1"/>
      <protection/>
    </xf>
    <xf numFmtId="49" fontId="104" fillId="0" borderId="10" xfId="55" applyNumberFormat="1" applyFont="1" applyFill="1" applyBorder="1" applyAlignment="1">
      <alignment vertical="center" wrapText="1"/>
      <protection/>
    </xf>
    <xf numFmtId="49" fontId="105" fillId="0" borderId="10" xfId="55" applyNumberFormat="1" applyFont="1" applyFill="1" applyBorder="1" applyAlignment="1">
      <alignment vertical="center" wrapText="1"/>
      <protection/>
    </xf>
    <xf numFmtId="49" fontId="105" fillId="35" borderId="10" xfId="55" applyNumberFormat="1" applyFont="1" applyFill="1" applyBorder="1" applyAlignment="1">
      <alignment horizontal="center" vertical="center"/>
      <protection/>
    </xf>
    <xf numFmtId="0" fontId="108" fillId="0" borderId="10" xfId="55" applyFont="1" applyBorder="1" applyAlignment="1">
      <alignment vertical="center"/>
      <protection/>
    </xf>
    <xf numFmtId="0" fontId="108" fillId="35" borderId="10" xfId="55" applyFont="1" applyFill="1" applyBorder="1" applyAlignment="1">
      <alignment horizontal="center" vertical="center"/>
      <protection/>
    </xf>
    <xf numFmtId="0" fontId="108" fillId="10" borderId="10" xfId="55" applyFont="1" applyFill="1" applyBorder="1" applyAlignment="1">
      <alignment horizontal="center" vertical="center"/>
      <protection/>
    </xf>
    <xf numFmtId="49" fontId="108" fillId="10" borderId="10" xfId="55" applyNumberFormat="1" applyFont="1" applyFill="1" applyBorder="1" applyAlignment="1">
      <alignment horizontal="left" vertical="center" wrapText="1"/>
      <protection/>
    </xf>
    <xf numFmtId="176" fontId="108" fillId="37" borderId="10" xfId="55" applyNumberFormat="1" applyFont="1" applyFill="1" applyBorder="1" applyAlignment="1">
      <alignment horizontal="right" vertical="center" wrapText="1"/>
      <protection/>
    </xf>
    <xf numFmtId="3" fontId="105" fillId="0" borderId="10" xfId="55" applyNumberFormat="1" applyFont="1" applyFill="1" applyBorder="1" applyAlignment="1">
      <alignment horizontal="right" vertical="center"/>
      <protection/>
    </xf>
    <xf numFmtId="3" fontId="132" fillId="10" borderId="10" xfId="55" applyNumberFormat="1" applyFont="1" applyFill="1" applyBorder="1" applyAlignment="1">
      <alignment horizontal="right" vertical="center"/>
      <protection/>
    </xf>
    <xf numFmtId="0" fontId="106" fillId="0" borderId="10" xfId="55" applyFont="1" applyBorder="1" applyAlignment="1">
      <alignment vertical="center"/>
      <protection/>
    </xf>
    <xf numFmtId="0" fontId="107" fillId="2" borderId="10" xfId="55" applyFont="1" applyFill="1" applyBorder="1" applyAlignment="1">
      <alignment horizontal="right" vertical="center"/>
      <protection/>
    </xf>
    <xf numFmtId="0" fontId="107" fillId="2" borderId="10" xfId="55" applyFont="1" applyFill="1" applyBorder="1" applyAlignment="1">
      <alignment vertical="center"/>
      <protection/>
    </xf>
    <xf numFmtId="176" fontId="107" fillId="2" borderId="10" xfId="55" applyNumberFormat="1" applyFont="1" applyFill="1" applyBorder="1" applyAlignment="1">
      <alignment horizontal="right" vertical="center"/>
      <protection/>
    </xf>
    <xf numFmtId="0" fontId="107" fillId="0" borderId="10" xfId="55" applyFont="1" applyBorder="1" applyAlignment="1">
      <alignment horizontal="right" vertical="center"/>
      <protection/>
    </xf>
    <xf numFmtId="0" fontId="107" fillId="0" borderId="10" xfId="55" applyFont="1" applyBorder="1" applyAlignment="1">
      <alignment vertical="center"/>
      <protection/>
    </xf>
    <xf numFmtId="176" fontId="107" fillId="0" borderId="10" xfId="55" applyNumberFormat="1" applyFont="1" applyBorder="1" applyAlignment="1">
      <alignment horizontal="right" vertical="center"/>
      <protection/>
    </xf>
    <xf numFmtId="0" fontId="106" fillId="0" borderId="10" xfId="55" applyFont="1" applyBorder="1" applyAlignment="1">
      <alignment horizontal="right" vertical="center"/>
      <protection/>
    </xf>
    <xf numFmtId="176" fontId="106" fillId="0" borderId="10" xfId="55" applyNumberFormat="1" applyFont="1" applyBorder="1" applyAlignment="1">
      <alignment horizontal="right" vertical="center"/>
      <protection/>
    </xf>
    <xf numFmtId="49" fontId="108" fillId="37" borderId="10" xfId="55" applyNumberFormat="1" applyFont="1" applyFill="1" applyBorder="1" applyAlignment="1">
      <alignment horizontal="right" vertical="center"/>
      <protection/>
    </xf>
    <xf numFmtId="49" fontId="108" fillId="37" borderId="10" xfId="55" applyNumberFormat="1" applyFont="1" applyFill="1" applyBorder="1" applyAlignment="1">
      <alignment vertical="center"/>
      <protection/>
    </xf>
    <xf numFmtId="176" fontId="108" fillId="10" borderId="10" xfId="55" applyNumberFormat="1" applyFont="1" applyFill="1" applyBorder="1" applyAlignment="1">
      <alignment horizontal="right" vertical="center" wrapText="1"/>
      <protection/>
    </xf>
    <xf numFmtId="176" fontId="133" fillId="38" borderId="10" xfId="55" applyNumberFormat="1" applyFont="1" applyFill="1" applyBorder="1" applyAlignment="1">
      <alignment horizontal="right" vertical="center" wrapText="1"/>
      <protection/>
    </xf>
    <xf numFmtId="176" fontId="134" fillId="38" borderId="10" xfId="55" applyNumberFormat="1" applyFont="1" applyFill="1" applyBorder="1" applyAlignment="1">
      <alignment horizontal="right" vertical="center" wrapText="1"/>
      <protection/>
    </xf>
    <xf numFmtId="176" fontId="104" fillId="0" borderId="10" xfId="55" applyNumberFormat="1" applyFont="1" applyFill="1" applyBorder="1" applyAlignment="1">
      <alignment vertical="center"/>
      <protection/>
    </xf>
    <xf numFmtId="176" fontId="104" fillId="39" borderId="10" xfId="55" applyNumberFormat="1" applyFont="1" applyFill="1" applyBorder="1" applyAlignment="1">
      <alignment vertical="center"/>
      <protection/>
    </xf>
    <xf numFmtId="3" fontId="108" fillId="33" borderId="0" xfId="55" applyNumberFormat="1" applyFont="1" applyFill="1" applyAlignment="1">
      <alignment vertical="center"/>
      <protection/>
    </xf>
    <xf numFmtId="3" fontId="127" fillId="33" borderId="0" xfId="55" applyNumberFormat="1" applyFont="1" applyFill="1" applyAlignment="1">
      <alignment vertical="center"/>
      <protection/>
    </xf>
    <xf numFmtId="3" fontId="104" fillId="33" borderId="0" xfId="55" applyNumberFormat="1" applyFont="1" applyFill="1" applyAlignment="1">
      <alignment vertical="center"/>
      <protection/>
    </xf>
    <xf numFmtId="3" fontId="105" fillId="33" borderId="0" xfId="55" applyNumberFormat="1" applyFont="1" applyFill="1" applyAlignment="1">
      <alignment vertical="center"/>
      <protection/>
    </xf>
    <xf numFmtId="3" fontId="107" fillId="2" borderId="10" xfId="55" applyNumberFormat="1" applyFont="1" applyFill="1" applyBorder="1" applyAlignment="1">
      <alignment horizontal="right" vertical="center"/>
      <protection/>
    </xf>
    <xf numFmtId="3" fontId="107" fillId="33" borderId="0" xfId="55" applyNumberFormat="1" applyFont="1" applyFill="1" applyAlignment="1">
      <alignment vertical="center"/>
      <protection/>
    </xf>
    <xf numFmtId="3" fontId="107" fillId="0" borderId="10" xfId="55" applyNumberFormat="1" applyFont="1" applyBorder="1" applyAlignment="1">
      <alignment horizontal="right" vertical="center"/>
      <protection/>
    </xf>
    <xf numFmtId="3" fontId="106" fillId="0" borderId="10" xfId="55" applyNumberFormat="1" applyFont="1" applyBorder="1" applyAlignment="1">
      <alignment horizontal="right" vertical="center"/>
      <protection/>
    </xf>
    <xf numFmtId="3" fontId="95" fillId="0" borderId="0" xfId="55" applyNumberFormat="1" applyFont="1" applyAlignment="1">
      <alignment vertical="center"/>
      <protection/>
    </xf>
    <xf numFmtId="3" fontId="108" fillId="10" borderId="10" xfId="55" applyNumberFormat="1" applyFont="1" applyFill="1" applyBorder="1" applyAlignment="1">
      <alignment horizontal="right" vertical="center"/>
      <protection/>
    </xf>
    <xf numFmtId="176" fontId="104" fillId="38" borderId="10" xfId="55" applyNumberFormat="1" applyFont="1" applyFill="1" applyBorder="1" applyAlignment="1">
      <alignment vertical="center"/>
      <protection/>
    </xf>
    <xf numFmtId="49" fontId="104" fillId="34" borderId="10" xfId="55" applyNumberFormat="1" applyFont="1" applyFill="1" applyBorder="1" applyAlignment="1">
      <alignment horizontal="center" vertical="center"/>
      <protection/>
    </xf>
    <xf numFmtId="0" fontId="104" fillId="34" borderId="10" xfId="55" applyFont="1" applyFill="1" applyBorder="1" applyAlignment="1">
      <alignment horizontal="right" vertical="center"/>
      <protection/>
    </xf>
    <xf numFmtId="49" fontId="104" fillId="34" borderId="10" xfId="55" applyNumberFormat="1" applyFont="1" applyFill="1" applyBorder="1" applyAlignment="1">
      <alignment horizontal="right" vertical="center"/>
      <protection/>
    </xf>
    <xf numFmtId="49" fontId="104" fillId="34" borderId="10" xfId="55" applyNumberFormat="1" applyFont="1" applyFill="1" applyBorder="1" applyAlignment="1">
      <alignment vertical="center"/>
      <protection/>
    </xf>
    <xf numFmtId="176" fontId="104" fillId="33" borderId="10" xfId="55" applyNumberFormat="1" applyFont="1" applyFill="1" applyBorder="1" applyAlignment="1">
      <alignment horizontal="right" vertical="center"/>
      <protection/>
    </xf>
    <xf numFmtId="0" fontId="105" fillId="34" borderId="10" xfId="55" applyFont="1" applyFill="1" applyBorder="1" applyAlignment="1">
      <alignment horizontal="right" vertical="center"/>
      <protection/>
    </xf>
    <xf numFmtId="49" fontId="105" fillId="34" borderId="10" xfId="55" applyNumberFormat="1" applyFont="1" applyFill="1" applyBorder="1" applyAlignment="1">
      <alignment horizontal="right" vertical="center"/>
      <protection/>
    </xf>
    <xf numFmtId="49" fontId="105" fillId="34" borderId="10" xfId="55" applyNumberFormat="1" applyFont="1" applyFill="1" applyBorder="1" applyAlignment="1">
      <alignment vertical="center"/>
      <protection/>
    </xf>
    <xf numFmtId="176" fontId="105" fillId="33" borderId="10" xfId="55" applyNumberFormat="1" applyFont="1" applyFill="1" applyBorder="1" applyAlignment="1">
      <alignment horizontal="right" vertical="center"/>
      <protection/>
    </xf>
    <xf numFmtId="176" fontId="104" fillId="38" borderId="10" xfId="55" applyNumberFormat="1" applyFont="1" applyFill="1" applyBorder="1" applyAlignment="1">
      <alignment horizontal="right" vertical="center"/>
      <protection/>
    </xf>
    <xf numFmtId="0" fontId="134" fillId="14" borderId="10" xfId="55" applyFont="1" applyFill="1" applyBorder="1" applyAlignment="1">
      <alignment horizontal="center" vertical="center"/>
      <protection/>
    </xf>
    <xf numFmtId="49" fontId="105" fillId="14" borderId="10" xfId="55" applyNumberFormat="1" applyFont="1" applyFill="1" applyBorder="1" applyAlignment="1">
      <alignment horizontal="right" vertical="center"/>
      <protection/>
    </xf>
    <xf numFmtId="0" fontId="105" fillId="14" borderId="10" xfId="55" applyFont="1" applyFill="1" applyBorder="1" applyAlignment="1">
      <alignment vertical="center"/>
      <protection/>
    </xf>
    <xf numFmtId="0" fontId="134" fillId="0" borderId="10" xfId="55" applyFont="1" applyBorder="1" applyAlignment="1">
      <alignment horizontal="center" vertical="center"/>
      <protection/>
    </xf>
    <xf numFmtId="0" fontId="104" fillId="33" borderId="10" xfId="55" applyFont="1" applyFill="1" applyBorder="1" applyAlignment="1">
      <alignment vertical="center"/>
      <protection/>
    </xf>
    <xf numFmtId="0" fontId="105" fillId="33" borderId="10" xfId="55" applyFont="1" applyFill="1" applyBorder="1" applyAlignment="1">
      <alignment vertical="center"/>
      <protection/>
    </xf>
    <xf numFmtId="0" fontId="134" fillId="33" borderId="10" xfId="55" applyFont="1" applyFill="1" applyBorder="1" applyAlignment="1">
      <alignment horizontal="center" vertical="center"/>
      <protection/>
    </xf>
    <xf numFmtId="176" fontId="104" fillId="35" borderId="10" xfId="55" applyNumberFormat="1" applyFont="1" applyFill="1" applyBorder="1" applyAlignment="1">
      <alignment horizontal="right" vertical="center"/>
      <protection/>
    </xf>
    <xf numFmtId="0" fontId="135" fillId="33" borderId="10" xfId="55" applyFont="1" applyFill="1" applyBorder="1" applyAlignment="1">
      <alignment horizontal="center" vertical="center"/>
      <protection/>
    </xf>
    <xf numFmtId="176" fontId="105" fillId="35" borderId="10" xfId="55" applyNumberFormat="1" applyFont="1" applyFill="1" applyBorder="1" applyAlignment="1">
      <alignment horizontal="right" vertical="center"/>
      <protection/>
    </xf>
    <xf numFmtId="0" fontId="133" fillId="33" borderId="10" xfId="55" applyFont="1" applyFill="1" applyBorder="1" applyAlignment="1">
      <alignment horizontal="center" vertical="center"/>
      <protection/>
    </xf>
    <xf numFmtId="49" fontId="108" fillId="34" borderId="10" xfId="55" applyNumberFormat="1" applyFont="1" applyFill="1" applyBorder="1" applyAlignment="1">
      <alignment horizontal="right" vertical="center"/>
      <protection/>
    </xf>
    <xf numFmtId="176" fontId="108" fillId="10" borderId="10" xfId="55" applyNumberFormat="1" applyFont="1" applyFill="1" applyBorder="1" applyAlignment="1">
      <alignment horizontal="right" vertical="center"/>
      <protection/>
    </xf>
    <xf numFmtId="176" fontId="42" fillId="14" borderId="10" xfId="55" applyNumberFormat="1" applyFont="1" applyFill="1" applyBorder="1" applyAlignment="1">
      <alignment horizontal="right" vertical="center"/>
      <protection/>
    </xf>
    <xf numFmtId="49" fontId="104" fillId="0" borderId="23" xfId="55" applyNumberFormat="1" applyFont="1" applyFill="1" applyBorder="1" applyAlignment="1">
      <alignment horizontal="center" vertical="center"/>
      <protection/>
    </xf>
    <xf numFmtId="49" fontId="104" fillId="0" borderId="23" xfId="55" applyNumberFormat="1" applyFont="1" applyFill="1" applyBorder="1" applyAlignment="1">
      <alignment horizontal="right" vertical="center"/>
      <protection/>
    </xf>
    <xf numFmtId="0" fontId="104" fillId="0" borderId="23" xfId="55" applyFont="1" applyFill="1" applyBorder="1" applyAlignment="1">
      <alignment vertical="center"/>
      <protection/>
    </xf>
    <xf numFmtId="49" fontId="104" fillId="0" borderId="23" xfId="55" applyNumberFormat="1" applyFont="1" applyFill="1" applyBorder="1" applyAlignment="1">
      <alignment vertical="center"/>
      <protection/>
    </xf>
    <xf numFmtId="176" fontId="42" fillId="0" borderId="10" xfId="55" applyNumberFormat="1" applyFont="1" applyFill="1" applyBorder="1" applyAlignment="1">
      <alignment horizontal="right" vertical="center"/>
      <protection/>
    </xf>
    <xf numFmtId="49" fontId="105" fillId="0" borderId="23" xfId="55" applyNumberFormat="1" applyFont="1" applyFill="1" applyBorder="1" applyAlignment="1">
      <alignment horizontal="center" vertical="center"/>
      <protection/>
    </xf>
    <xf numFmtId="49" fontId="105" fillId="0" borderId="23" xfId="55" applyNumberFormat="1" applyFont="1" applyFill="1" applyBorder="1" applyAlignment="1">
      <alignment horizontal="right" vertical="center"/>
      <protection/>
    </xf>
    <xf numFmtId="0" fontId="105" fillId="0" borderId="23" xfId="55" applyFont="1" applyFill="1" applyBorder="1" applyAlignment="1">
      <alignment vertical="center"/>
      <protection/>
    </xf>
    <xf numFmtId="49" fontId="105" fillId="0" borderId="23" xfId="55" applyNumberFormat="1" applyFont="1" applyFill="1" applyBorder="1" applyAlignment="1">
      <alignment vertical="center"/>
      <protection/>
    </xf>
    <xf numFmtId="176" fontId="1" fillId="0" borderId="10" xfId="55" applyNumberFormat="1" applyFont="1" applyFill="1" applyBorder="1" applyAlignment="1">
      <alignment horizontal="right" vertical="center"/>
      <protection/>
    </xf>
    <xf numFmtId="49" fontId="42" fillId="34" borderId="10" xfId="55" applyNumberFormat="1" applyFont="1" applyFill="1" applyBorder="1" applyAlignment="1">
      <alignment horizontal="right" vertical="center"/>
      <protection/>
    </xf>
    <xf numFmtId="49" fontId="67" fillId="0" borderId="10" xfId="55" applyNumberFormat="1" applyFont="1" applyFill="1" applyBorder="1" applyAlignment="1">
      <alignment horizontal="right" vertical="center"/>
      <protection/>
    </xf>
    <xf numFmtId="49" fontId="42" fillId="0" borderId="10" xfId="55" applyNumberFormat="1" applyFont="1" applyFill="1" applyBorder="1" applyAlignment="1">
      <alignment vertical="center"/>
      <protection/>
    </xf>
    <xf numFmtId="49" fontId="1" fillId="34" borderId="10" xfId="55" applyNumberFormat="1" applyFont="1" applyFill="1" applyBorder="1" applyAlignment="1">
      <alignment horizontal="right" vertical="center"/>
      <protection/>
    </xf>
    <xf numFmtId="49" fontId="108" fillId="0" borderId="10" xfId="55" applyNumberFormat="1" applyFont="1" applyFill="1" applyBorder="1" applyAlignment="1">
      <alignment horizontal="right" vertical="center"/>
      <protection/>
    </xf>
    <xf numFmtId="49" fontId="1" fillId="0" borderId="10" xfId="55" applyNumberFormat="1" applyFont="1" applyFill="1" applyBorder="1" applyAlignment="1">
      <alignment vertical="center"/>
      <protection/>
    </xf>
    <xf numFmtId="0" fontId="107" fillId="14" borderId="10" xfId="55" applyFont="1" applyFill="1" applyBorder="1" applyAlignment="1">
      <alignment horizontal="center" vertical="center"/>
      <protection/>
    </xf>
    <xf numFmtId="49" fontId="107" fillId="38" borderId="10" xfId="55" applyNumberFormat="1" applyFont="1" applyFill="1" applyBorder="1" applyAlignment="1">
      <alignment horizontal="right" vertical="center"/>
      <protection/>
    </xf>
    <xf numFmtId="49" fontId="107" fillId="38" borderId="10" xfId="55" applyNumberFormat="1" applyFont="1" applyFill="1" applyBorder="1" applyAlignment="1">
      <alignment vertical="center"/>
      <protection/>
    </xf>
    <xf numFmtId="176" fontId="107" fillId="38" borderId="10" xfId="55" applyNumberFormat="1" applyFont="1" applyFill="1" applyBorder="1" applyAlignment="1">
      <alignment horizontal="right" vertical="center"/>
      <protection/>
    </xf>
    <xf numFmtId="0" fontId="105" fillId="33" borderId="24" xfId="55" applyFont="1" applyFill="1" applyBorder="1" applyAlignment="1">
      <alignment vertical="center"/>
      <protection/>
    </xf>
    <xf numFmtId="49" fontId="105" fillId="0" borderId="24" xfId="55" applyNumberFormat="1" applyFont="1" applyBorder="1" applyAlignment="1">
      <alignment horizontal="right" vertical="center"/>
      <protection/>
    </xf>
    <xf numFmtId="0" fontId="105" fillId="0" borderId="24" xfId="55" applyFont="1" applyBorder="1" applyAlignment="1">
      <alignment vertical="center"/>
      <protection/>
    </xf>
    <xf numFmtId="176" fontId="105" fillId="35" borderId="24" xfId="55" applyNumberFormat="1" applyFont="1" applyFill="1" applyBorder="1" applyAlignment="1">
      <alignment horizontal="right" vertical="center"/>
      <protection/>
    </xf>
    <xf numFmtId="0" fontId="104" fillId="33" borderId="24" xfId="55" applyFont="1" applyFill="1" applyBorder="1" applyAlignment="1">
      <alignment vertical="center"/>
      <protection/>
    </xf>
    <xf numFmtId="49" fontId="104" fillId="0" borderId="24" xfId="55" applyNumberFormat="1" applyFont="1" applyBorder="1" applyAlignment="1">
      <alignment horizontal="right" vertical="center"/>
      <protection/>
    </xf>
    <xf numFmtId="0" fontId="104" fillId="0" borderId="24" xfId="55" applyFont="1" applyBorder="1" applyAlignment="1">
      <alignment vertical="center"/>
      <protection/>
    </xf>
    <xf numFmtId="176" fontId="104" fillId="35" borderId="24" xfId="55" applyNumberFormat="1" applyFont="1" applyFill="1" applyBorder="1" applyAlignment="1">
      <alignment horizontal="right" vertical="center"/>
      <protection/>
    </xf>
    <xf numFmtId="49" fontId="108" fillId="37" borderId="10" xfId="55" applyNumberFormat="1" applyFont="1" applyFill="1" applyBorder="1" applyAlignment="1">
      <alignment vertical="center" wrapText="1"/>
      <protection/>
    </xf>
    <xf numFmtId="176" fontId="108" fillId="10" borderId="24" xfId="55" applyNumberFormat="1" applyFont="1" applyFill="1" applyBorder="1" applyAlignment="1">
      <alignment horizontal="right" vertical="center"/>
      <protection/>
    </xf>
    <xf numFmtId="176" fontId="108" fillId="37" borderId="24" xfId="55" applyNumberFormat="1" applyFont="1" applyFill="1" applyBorder="1" applyAlignment="1">
      <alignment horizontal="right" vertical="center"/>
      <protection/>
    </xf>
    <xf numFmtId="49" fontId="104" fillId="34" borderId="23" xfId="55" applyNumberFormat="1" applyFont="1" applyFill="1" applyBorder="1" applyAlignment="1">
      <alignment horizontal="center" vertical="center"/>
      <protection/>
    </xf>
    <xf numFmtId="49" fontId="127" fillId="0" borderId="10" xfId="55" applyNumberFormat="1" applyFont="1" applyFill="1" applyBorder="1" applyAlignment="1">
      <alignment horizontal="right" vertical="center"/>
      <protection/>
    </xf>
    <xf numFmtId="0" fontId="108" fillId="33" borderId="24" xfId="55" applyFont="1" applyFill="1" applyBorder="1" applyAlignment="1">
      <alignment vertical="center"/>
      <protection/>
    </xf>
    <xf numFmtId="49" fontId="108" fillId="34" borderId="24" xfId="55" applyNumberFormat="1" applyFont="1" applyFill="1" applyBorder="1" applyAlignment="1">
      <alignment horizontal="right" vertical="center"/>
      <protection/>
    </xf>
    <xf numFmtId="49" fontId="108" fillId="37" borderId="24" xfId="55" applyNumberFormat="1" applyFont="1" applyFill="1" applyBorder="1" applyAlignment="1">
      <alignment horizontal="right" vertical="center"/>
      <protection/>
    </xf>
    <xf numFmtId="49" fontId="108" fillId="37" borderId="24" xfId="55" applyNumberFormat="1" applyFont="1" applyFill="1" applyBorder="1" applyAlignment="1">
      <alignment vertical="center" wrapText="1"/>
      <protection/>
    </xf>
    <xf numFmtId="0" fontId="108" fillId="33" borderId="0" xfId="55" applyFont="1" applyFill="1" applyBorder="1" applyAlignment="1">
      <alignment vertical="center"/>
      <protection/>
    </xf>
    <xf numFmtId="49" fontId="108" fillId="34" borderId="0" xfId="55" applyNumberFormat="1" applyFont="1" applyFill="1" applyBorder="1" applyAlignment="1">
      <alignment horizontal="right" vertical="center"/>
      <protection/>
    </xf>
    <xf numFmtId="49" fontId="108" fillId="37" borderId="0" xfId="55" applyNumberFormat="1" applyFont="1" applyFill="1" applyBorder="1" applyAlignment="1">
      <alignment horizontal="right" vertical="center"/>
      <protection/>
    </xf>
    <xf numFmtId="49" fontId="108" fillId="37" borderId="25" xfId="55" applyNumberFormat="1" applyFont="1" applyFill="1" applyBorder="1" applyAlignment="1">
      <alignment vertical="center" wrapText="1"/>
      <protection/>
    </xf>
    <xf numFmtId="176" fontId="108" fillId="10" borderId="26" xfId="55" applyNumberFormat="1" applyFont="1" applyFill="1" applyBorder="1" applyAlignment="1">
      <alignment horizontal="right" vertical="center"/>
      <protection/>
    </xf>
    <xf numFmtId="176" fontId="108" fillId="37" borderId="26" xfId="55" applyNumberFormat="1" applyFont="1" applyFill="1" applyBorder="1" applyAlignment="1">
      <alignment horizontal="right" vertical="center"/>
      <protection/>
    </xf>
    <xf numFmtId="176" fontId="100" fillId="35" borderId="27" xfId="55" applyNumberFormat="1" applyFont="1" applyFill="1" applyBorder="1" applyAlignment="1">
      <alignment vertical="center"/>
      <protection/>
    </xf>
    <xf numFmtId="3" fontId="99" fillId="0" borderId="10" xfId="55" applyNumberFormat="1" applyFont="1" applyBorder="1" applyAlignment="1">
      <alignment horizontal="right" vertical="center"/>
      <protection/>
    </xf>
    <xf numFmtId="3" fontId="108" fillId="0" borderId="10" xfId="55" applyNumberFormat="1" applyFont="1" applyFill="1" applyBorder="1" applyAlignment="1">
      <alignment horizontal="right" vertical="center"/>
      <protection/>
    </xf>
    <xf numFmtId="3" fontId="127" fillId="0" borderId="10" xfId="55" applyNumberFormat="1" applyFont="1" applyFill="1" applyBorder="1" applyAlignment="1">
      <alignment horizontal="right" vertical="center"/>
      <protection/>
    </xf>
    <xf numFmtId="3" fontId="67" fillId="0" borderId="10" xfId="55" applyNumberFormat="1" applyFont="1" applyFill="1" applyBorder="1" applyAlignment="1">
      <alignment horizontal="right" vertical="center"/>
      <protection/>
    </xf>
    <xf numFmtId="3" fontId="107" fillId="14" borderId="10" xfId="55" applyNumberFormat="1" applyFont="1" applyFill="1" applyBorder="1" applyAlignment="1">
      <alignment horizontal="right" vertical="center"/>
      <protection/>
    </xf>
    <xf numFmtId="3" fontId="99" fillId="0" borderId="24" xfId="55" applyNumberFormat="1" applyFont="1" applyBorder="1" applyAlignment="1">
      <alignment horizontal="right" vertical="center"/>
      <protection/>
    </xf>
    <xf numFmtId="3" fontId="108" fillId="10" borderId="24" xfId="55" applyNumberFormat="1" applyFont="1" applyFill="1" applyBorder="1" applyAlignment="1">
      <alignment horizontal="right" vertical="center"/>
      <protection/>
    </xf>
    <xf numFmtId="3" fontId="108" fillId="10" borderId="26" xfId="55" applyNumberFormat="1" applyFont="1" applyFill="1" applyBorder="1" applyAlignment="1">
      <alignment horizontal="right" vertical="center"/>
      <protection/>
    </xf>
    <xf numFmtId="3" fontId="100" fillId="0" borderId="27" xfId="55" applyNumberFormat="1" applyFont="1" applyBorder="1" applyAlignment="1">
      <alignment horizontal="right" vertical="center"/>
      <protection/>
    </xf>
    <xf numFmtId="4" fontId="105" fillId="0" borderId="0" xfId="55" applyNumberFormat="1" applyFont="1" applyAlignment="1">
      <alignment vertical="center"/>
      <protection/>
    </xf>
    <xf numFmtId="3" fontId="105" fillId="0" borderId="0" xfId="55" applyNumberFormat="1" applyFont="1" applyAlignment="1">
      <alignment horizontal="center" vertical="center"/>
      <protection/>
    </xf>
    <xf numFmtId="4" fontId="99" fillId="0" borderId="0" xfId="55" applyNumberFormat="1" applyFont="1" applyAlignment="1">
      <alignment horizontal="right" vertical="center"/>
      <protection/>
    </xf>
    <xf numFmtId="3" fontId="134" fillId="0" borderId="0" xfId="55" applyNumberFormat="1" applyFont="1" applyAlignment="1">
      <alignment vertical="center"/>
      <protection/>
    </xf>
    <xf numFmtId="176" fontId="104" fillId="0" borderId="0" xfId="55" applyNumberFormat="1" applyFont="1" applyAlignment="1">
      <alignment vertical="center"/>
      <protection/>
    </xf>
    <xf numFmtId="4" fontId="95" fillId="0" borderId="0" xfId="55" applyNumberFormat="1" applyFont="1" applyAlignment="1">
      <alignment vertical="center"/>
      <protection/>
    </xf>
    <xf numFmtId="0" fontId="90" fillId="0" borderId="0" xfId="55">
      <alignment/>
      <protection/>
    </xf>
    <xf numFmtId="0" fontId="90" fillId="0" borderId="0" xfId="55" applyFont="1">
      <alignment/>
      <protection/>
    </xf>
    <xf numFmtId="0" fontId="136" fillId="0" borderId="0" xfId="55" applyFont="1">
      <alignment/>
      <protection/>
    </xf>
    <xf numFmtId="0" fontId="137" fillId="0" borderId="0" xfId="55" applyFont="1">
      <alignment/>
      <protection/>
    </xf>
    <xf numFmtId="2" fontId="90" fillId="0" borderId="0" xfId="55" applyNumberFormat="1">
      <alignment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>
      <alignment/>
      <protection/>
    </xf>
    <xf numFmtId="3" fontId="3" fillId="0" borderId="0" xfId="55" applyNumberFormat="1" applyFont="1">
      <alignment/>
      <protection/>
    </xf>
    <xf numFmtId="2" fontId="3" fillId="0" borderId="0" xfId="55" applyNumberFormat="1" applyFont="1">
      <alignment/>
      <protection/>
    </xf>
    <xf numFmtId="0" fontId="2" fillId="0" borderId="28" xfId="55" applyFont="1" applyBorder="1" applyAlignment="1">
      <alignment horizontal="center" vertical="center"/>
      <protection/>
    </xf>
    <xf numFmtId="0" fontId="3" fillId="0" borderId="29" xfId="55" applyFont="1" applyBorder="1">
      <alignment/>
      <protection/>
    </xf>
    <xf numFmtId="3" fontId="3" fillId="0" borderId="29" xfId="55" applyNumberFormat="1" applyFont="1" applyBorder="1">
      <alignment/>
      <protection/>
    </xf>
    <xf numFmtId="2" fontId="3" fillId="0" borderId="30" xfId="55" applyNumberFormat="1" applyFont="1" applyBorder="1">
      <alignment/>
      <protection/>
    </xf>
    <xf numFmtId="3" fontId="42" fillId="35" borderId="10" xfId="55" applyNumberFormat="1" applyFont="1" applyFill="1" applyBorder="1" applyAlignment="1">
      <alignment horizontal="center" vertical="center" wrapText="1"/>
      <protection/>
    </xf>
    <xf numFmtId="3" fontId="42" fillId="35" borderId="10" xfId="55" applyNumberFormat="1" applyFont="1" applyFill="1" applyBorder="1" applyAlignment="1">
      <alignment horizontal="center" vertical="center"/>
      <protection/>
    </xf>
    <xf numFmtId="3" fontId="4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2" fontId="42" fillId="0" borderId="10" xfId="55" applyNumberFormat="1" applyFont="1" applyBorder="1" applyAlignment="1">
      <alignment horizontal="center" vertical="center" wrapText="1"/>
      <protection/>
    </xf>
    <xf numFmtId="3" fontId="1" fillId="35" borderId="22" xfId="55" applyNumberFormat="1" applyFont="1" applyFill="1" applyBorder="1" applyAlignment="1">
      <alignment horizontal="center" vertical="center" wrapText="1"/>
      <protection/>
    </xf>
    <xf numFmtId="3" fontId="69" fillId="35" borderId="10" xfId="55" applyNumberFormat="1" applyFont="1" applyFill="1" applyBorder="1" applyAlignment="1">
      <alignment horizontal="center" vertical="center" wrapText="1"/>
      <protection/>
    </xf>
    <xf numFmtId="0" fontId="69" fillId="35" borderId="10" xfId="55" applyFont="1" applyFill="1" applyBorder="1" applyAlignment="1">
      <alignment horizontal="center" vertical="center" wrapText="1"/>
      <protection/>
    </xf>
    <xf numFmtId="2" fontId="1" fillId="0" borderId="10" xfId="55" applyNumberFormat="1" applyFont="1" applyBorder="1" applyAlignment="1">
      <alignment horizontal="center" vertical="center" wrapText="1"/>
      <protection/>
    </xf>
    <xf numFmtId="0" fontId="70" fillId="14" borderId="10" xfId="55" applyFont="1" applyFill="1" applyBorder="1" applyAlignment="1">
      <alignment horizontal="center" vertical="center"/>
      <protection/>
    </xf>
    <xf numFmtId="0" fontId="70" fillId="14" borderId="10" xfId="55" applyFont="1" applyFill="1" applyBorder="1" applyAlignment="1">
      <alignment horizontal="center" vertical="center" wrapText="1"/>
      <protection/>
    </xf>
    <xf numFmtId="176" fontId="70" fillId="14" borderId="10" xfId="55" applyNumberFormat="1" applyFont="1" applyFill="1" applyBorder="1" applyAlignment="1">
      <alignment horizontal="right" vertical="center"/>
      <protection/>
    </xf>
    <xf numFmtId="2" fontId="70" fillId="14" borderId="10" xfId="55" applyNumberFormat="1" applyFont="1" applyFill="1" applyBorder="1">
      <alignment/>
      <protection/>
    </xf>
    <xf numFmtId="0" fontId="70" fillId="0" borderId="10" xfId="55" applyFont="1" applyBorder="1" applyAlignment="1">
      <alignment horizontal="center" vertical="center"/>
      <protection/>
    </xf>
    <xf numFmtId="0" fontId="70" fillId="2" borderId="10" xfId="55" applyFont="1" applyFill="1" applyBorder="1" applyAlignment="1">
      <alignment horizontal="center" vertical="center" wrapText="1"/>
      <protection/>
    </xf>
    <xf numFmtId="0" fontId="70" fillId="2" borderId="10" xfId="55" applyFont="1" applyFill="1" applyBorder="1" applyAlignment="1">
      <alignment horizontal="left" vertical="center"/>
      <protection/>
    </xf>
    <xf numFmtId="176" fontId="70" fillId="2" borderId="10" xfId="55" applyNumberFormat="1" applyFont="1" applyFill="1" applyBorder="1" applyAlignment="1">
      <alignment horizontal="right" vertical="center"/>
      <protection/>
    </xf>
    <xf numFmtId="2" fontId="70" fillId="2" borderId="10" xfId="55" applyNumberFormat="1" applyFont="1" applyFill="1" applyBorder="1">
      <alignment/>
      <protection/>
    </xf>
    <xf numFmtId="0" fontId="70" fillId="0" borderId="10" xfId="55" applyFont="1" applyBorder="1" applyAlignment="1">
      <alignment horizontal="center" vertical="center" wrapText="1"/>
      <protection/>
    </xf>
    <xf numFmtId="0" fontId="70" fillId="0" borderId="10" xfId="55" applyFont="1" applyBorder="1" applyAlignment="1">
      <alignment horizontal="left" vertical="center" wrapText="1"/>
      <protection/>
    </xf>
    <xf numFmtId="176" fontId="70" fillId="0" borderId="10" xfId="55" applyNumberFormat="1" applyFont="1" applyBorder="1" applyAlignment="1">
      <alignment horizontal="right" vertical="center"/>
      <protection/>
    </xf>
    <xf numFmtId="2" fontId="71" fillId="0" borderId="10" xfId="55" applyNumberFormat="1" applyFont="1" applyBorder="1">
      <alignment/>
      <protection/>
    </xf>
    <xf numFmtId="0" fontId="71" fillId="0" borderId="10" xfId="55" applyFont="1" applyBorder="1" applyAlignment="1">
      <alignment horizontal="center" vertical="center" wrapText="1"/>
      <protection/>
    </xf>
    <xf numFmtId="0" fontId="71" fillId="0" borderId="10" xfId="55" applyFont="1" applyBorder="1" applyAlignment="1">
      <alignment horizontal="left" vertical="center"/>
      <protection/>
    </xf>
    <xf numFmtId="176" fontId="71" fillId="0" borderId="10" xfId="55" applyNumberFormat="1" applyFont="1" applyBorder="1">
      <alignment/>
      <protection/>
    </xf>
    <xf numFmtId="176" fontId="71" fillId="0" borderId="10" xfId="55" applyNumberFormat="1" applyFont="1" applyBorder="1" applyAlignment="1">
      <alignment horizontal="right" vertical="center"/>
      <protection/>
    </xf>
    <xf numFmtId="0" fontId="70" fillId="0" borderId="10" xfId="55" applyFont="1" applyBorder="1" applyAlignment="1">
      <alignment horizontal="left" vertical="center"/>
      <protection/>
    </xf>
    <xf numFmtId="0" fontId="71" fillId="0" borderId="10" xfId="55" applyFont="1" applyBorder="1" applyAlignment="1">
      <alignment horizontal="center" vertical="center"/>
      <protection/>
    </xf>
    <xf numFmtId="0" fontId="71" fillId="0" borderId="10" xfId="55" applyFont="1" applyBorder="1">
      <alignment/>
      <protection/>
    </xf>
    <xf numFmtId="0" fontId="70" fillId="0" borderId="10" xfId="55" applyFont="1" applyBorder="1">
      <alignment/>
      <protection/>
    </xf>
    <xf numFmtId="176" fontId="70" fillId="0" borderId="10" xfId="55" applyNumberFormat="1" applyFont="1" applyBorder="1">
      <alignment/>
      <protection/>
    </xf>
    <xf numFmtId="0" fontId="70" fillId="0" borderId="10" xfId="55" applyFont="1" applyBorder="1" applyAlignment="1">
      <alignment vertical="center" wrapText="1"/>
      <protection/>
    </xf>
    <xf numFmtId="0" fontId="71" fillId="0" borderId="10" xfId="55" applyFont="1" applyBorder="1" applyAlignment="1">
      <alignment wrapText="1"/>
      <protection/>
    </xf>
    <xf numFmtId="0" fontId="70" fillId="0" borderId="10" xfId="55" applyFont="1" applyBorder="1" applyAlignment="1">
      <alignment wrapText="1"/>
      <protection/>
    </xf>
    <xf numFmtId="0" fontId="70" fillId="2" borderId="10" xfId="55" applyFont="1" applyFill="1" applyBorder="1" applyAlignment="1">
      <alignment horizontal="center" vertical="center"/>
      <protection/>
    </xf>
    <xf numFmtId="0" fontId="70" fillId="2" borderId="10" xfId="55" applyFont="1" applyFill="1" applyBorder="1">
      <alignment/>
      <protection/>
    </xf>
    <xf numFmtId="176" fontId="70" fillId="2" borderId="10" xfId="55" applyNumberFormat="1" applyFont="1" applyFill="1" applyBorder="1">
      <alignment/>
      <protection/>
    </xf>
    <xf numFmtId="49" fontId="42" fillId="39" borderId="10" xfId="55" applyNumberFormat="1" applyFont="1" applyFill="1" applyBorder="1" applyAlignment="1">
      <alignment horizontal="left" vertical="center" wrapText="1"/>
      <protection/>
    </xf>
    <xf numFmtId="49" fontId="42" fillId="14" borderId="10" xfId="55" applyNumberFormat="1" applyFont="1" applyFill="1" applyBorder="1" applyAlignment="1">
      <alignment horizontal="left" vertical="center" wrapText="1"/>
      <protection/>
    </xf>
    <xf numFmtId="176" fontId="70" fillId="14" borderId="10" xfId="55" applyNumberFormat="1" applyFont="1" applyFill="1" applyBorder="1">
      <alignment/>
      <protection/>
    </xf>
    <xf numFmtId="49" fontId="42" fillId="2" borderId="10" xfId="55" applyNumberFormat="1" applyFont="1" applyFill="1" applyBorder="1" applyAlignment="1">
      <alignment horizontal="left" vertical="center" wrapText="1"/>
      <protection/>
    </xf>
    <xf numFmtId="0" fontId="72" fillId="40" borderId="22" xfId="55" applyFont="1" applyFill="1" applyBorder="1" applyAlignment="1">
      <alignment horizontal="center" vertical="center"/>
      <protection/>
    </xf>
    <xf numFmtId="176" fontId="72" fillId="40" borderId="10" xfId="55" applyNumberFormat="1" applyFont="1" applyFill="1" applyBorder="1">
      <alignment/>
      <protection/>
    </xf>
    <xf numFmtId="2" fontId="72" fillId="40" borderId="10" xfId="55" applyNumberFormat="1" applyFont="1" applyFill="1" applyBorder="1">
      <alignment/>
      <protection/>
    </xf>
    <xf numFmtId="0" fontId="73" fillId="0" borderId="22" xfId="55" applyFont="1" applyBorder="1" applyAlignment="1">
      <alignment horizontal="center"/>
      <protection/>
    </xf>
    <xf numFmtId="3" fontId="73" fillId="0" borderId="10" xfId="55" applyNumberFormat="1" applyFont="1" applyBorder="1" applyAlignment="1">
      <alignment horizontal="center"/>
      <protection/>
    </xf>
    <xf numFmtId="0" fontId="73" fillId="0" borderId="10" xfId="55" applyFont="1" applyBorder="1" applyAlignment="1">
      <alignment horizontal="center"/>
      <protection/>
    </xf>
    <xf numFmtId="0" fontId="73" fillId="0" borderId="10" xfId="55" applyNumberFormat="1" applyFont="1" applyBorder="1" applyAlignment="1">
      <alignment horizontal="center" vertical="center" wrapText="1"/>
      <protection/>
    </xf>
    <xf numFmtId="0" fontId="70" fillId="14" borderId="10" xfId="55" applyFont="1" applyFill="1" applyBorder="1">
      <alignment/>
      <protection/>
    </xf>
    <xf numFmtId="0" fontId="70" fillId="13" borderId="10" xfId="55" applyFont="1" applyFill="1" applyBorder="1">
      <alignment/>
      <protection/>
    </xf>
    <xf numFmtId="176" fontId="70" fillId="13" borderId="10" xfId="55" applyNumberFormat="1" applyFont="1" applyFill="1" applyBorder="1">
      <alignment/>
      <protection/>
    </xf>
    <xf numFmtId="2" fontId="70" fillId="13" borderId="10" xfId="55" applyNumberFormat="1" applyFont="1" applyFill="1" applyBorder="1">
      <alignment/>
      <protection/>
    </xf>
    <xf numFmtId="2" fontId="70" fillId="0" borderId="10" xfId="55" applyNumberFormat="1" applyFont="1" applyBorder="1">
      <alignment/>
      <protection/>
    </xf>
    <xf numFmtId="0" fontId="70" fillId="0" borderId="10" xfId="55" applyFont="1" applyFill="1" applyBorder="1">
      <alignment/>
      <protection/>
    </xf>
    <xf numFmtId="0" fontId="71" fillId="0" borderId="10" xfId="55" applyFont="1" applyFill="1" applyBorder="1">
      <alignment/>
      <protection/>
    </xf>
    <xf numFmtId="176" fontId="70" fillId="0" borderId="10" xfId="55" applyNumberFormat="1" applyFont="1" applyFill="1" applyBorder="1">
      <alignment/>
      <protection/>
    </xf>
    <xf numFmtId="2" fontId="70" fillId="0" borderId="10" xfId="55" applyNumberFormat="1" applyFont="1" applyFill="1" applyBorder="1">
      <alignment/>
      <protection/>
    </xf>
    <xf numFmtId="176" fontId="71" fillId="0" borderId="10" xfId="55" applyNumberFormat="1" applyFont="1" applyFill="1" applyBorder="1">
      <alignment/>
      <protection/>
    </xf>
    <xf numFmtId="2" fontId="71" fillId="0" borderId="10" xfId="55" applyNumberFormat="1" applyFont="1" applyFill="1" applyBorder="1">
      <alignment/>
      <protection/>
    </xf>
    <xf numFmtId="0" fontId="70" fillId="0" borderId="21" xfId="55" applyFont="1" applyBorder="1" applyAlignment="1">
      <alignment horizontal="center" vertical="center"/>
      <protection/>
    </xf>
    <xf numFmtId="176" fontId="3" fillId="0" borderId="0" xfId="55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6" fillId="0" borderId="0" xfId="0" applyFont="1" applyAlignment="1">
      <alignment/>
    </xf>
    <xf numFmtId="0" fontId="129" fillId="0" borderId="0" xfId="0" applyFont="1" applyAlignment="1">
      <alignment horizontal="center"/>
    </xf>
    <xf numFmtId="0" fontId="113" fillId="0" borderId="0" xfId="0" applyFont="1" applyAlignment="1">
      <alignment/>
    </xf>
    <xf numFmtId="0" fontId="138" fillId="0" borderId="0" xfId="55" applyFont="1" applyAlignment="1">
      <alignment horizontal="center" vertical="center"/>
      <protection/>
    </xf>
    <xf numFmtId="176" fontId="71" fillId="0" borderId="10" xfId="55" applyNumberFormat="1" applyFont="1" applyBorder="1" applyAlignment="1">
      <alignment vertical="center"/>
      <protection/>
    </xf>
    <xf numFmtId="0" fontId="71" fillId="0" borderId="10" xfId="55" applyFont="1" applyBorder="1" applyAlignment="1">
      <alignment vertical="center"/>
      <protection/>
    </xf>
    <xf numFmtId="0" fontId="70" fillId="0" borderId="10" xfId="55" applyFont="1" applyBorder="1" applyAlignment="1">
      <alignment vertical="center"/>
      <protection/>
    </xf>
    <xf numFmtId="176" fontId="70" fillId="0" borderId="10" xfId="55" applyNumberFormat="1" applyFont="1" applyBorder="1" applyAlignment="1">
      <alignment vertical="center"/>
      <protection/>
    </xf>
    <xf numFmtId="49" fontId="71" fillId="35" borderId="10" xfId="55" applyNumberFormat="1" applyFont="1" applyFill="1" applyBorder="1" applyAlignment="1">
      <alignment horizontal="left" vertical="center" wrapText="1"/>
      <protection/>
    </xf>
    <xf numFmtId="0" fontId="71" fillId="0" borderId="10" xfId="55" applyFont="1" applyBorder="1" applyAlignment="1">
      <alignment vertical="center" wrapText="1"/>
      <protection/>
    </xf>
    <xf numFmtId="0" fontId="70" fillId="2" borderId="10" xfId="55" applyFont="1" applyFill="1" applyBorder="1" applyAlignment="1">
      <alignment vertical="center"/>
      <protection/>
    </xf>
    <xf numFmtId="176" fontId="70" fillId="2" borderId="10" xfId="55" applyNumberFormat="1" applyFont="1" applyFill="1" applyBorder="1" applyAlignment="1">
      <alignment vertical="center"/>
      <protection/>
    </xf>
    <xf numFmtId="0" fontId="70" fillId="33" borderId="10" xfId="55" applyFont="1" applyFill="1" applyBorder="1" applyAlignment="1">
      <alignment horizontal="center" vertical="center"/>
      <protection/>
    </xf>
    <xf numFmtId="0" fontId="70" fillId="33" borderId="10" xfId="55" applyFont="1" applyFill="1" applyBorder="1" applyAlignment="1">
      <alignment vertical="center" wrapText="1"/>
      <protection/>
    </xf>
    <xf numFmtId="176" fontId="70" fillId="33" borderId="10" xfId="55" applyNumberFormat="1" applyFont="1" applyFill="1" applyBorder="1" applyAlignment="1">
      <alignment vertical="center"/>
      <protection/>
    </xf>
    <xf numFmtId="0" fontId="71" fillId="33" borderId="10" xfId="55" applyFont="1" applyFill="1" applyBorder="1" applyAlignment="1">
      <alignment horizontal="center" vertical="center"/>
      <protection/>
    </xf>
    <xf numFmtId="0" fontId="71" fillId="33" borderId="10" xfId="55" applyFont="1" applyFill="1" applyBorder="1" applyAlignment="1">
      <alignment vertical="center" wrapText="1"/>
      <protection/>
    </xf>
    <xf numFmtId="176" fontId="71" fillId="33" borderId="10" xfId="55" applyNumberFormat="1" applyFont="1" applyFill="1" applyBorder="1" applyAlignment="1">
      <alignment vertical="center"/>
      <protection/>
    </xf>
    <xf numFmtId="49" fontId="70" fillId="39" borderId="10" xfId="55" applyNumberFormat="1" applyFont="1" applyFill="1" applyBorder="1" applyAlignment="1">
      <alignment horizontal="left" vertical="center" wrapText="1"/>
      <protection/>
    </xf>
    <xf numFmtId="49" fontId="70" fillId="14" borderId="10" xfId="55" applyNumberFormat="1" applyFont="1" applyFill="1" applyBorder="1" applyAlignment="1">
      <alignment horizontal="left" vertical="center" wrapText="1"/>
      <protection/>
    </xf>
    <xf numFmtId="176" fontId="70" fillId="14" borderId="10" xfId="55" applyNumberFormat="1" applyFont="1" applyFill="1" applyBorder="1" applyAlignment="1">
      <alignment vertical="center"/>
      <protection/>
    </xf>
    <xf numFmtId="49" fontId="70" fillId="2" borderId="10" xfId="55" applyNumberFormat="1" applyFont="1" applyFill="1" applyBorder="1" applyAlignment="1">
      <alignment horizontal="left" vertical="center" wrapText="1"/>
      <protection/>
    </xf>
    <xf numFmtId="176" fontId="72" fillId="40" borderId="10" xfId="55" applyNumberFormat="1" applyFont="1" applyFill="1" applyBorder="1" applyAlignment="1">
      <alignment vertical="center"/>
      <protection/>
    </xf>
    <xf numFmtId="0" fontId="139" fillId="0" borderId="0" xfId="0" applyFont="1" applyAlignment="1">
      <alignment/>
    </xf>
    <xf numFmtId="0" fontId="140" fillId="0" borderId="0" xfId="0" applyFont="1" applyAlignment="1">
      <alignment/>
    </xf>
    <xf numFmtId="0" fontId="141" fillId="0" borderId="0" xfId="0" applyFont="1" applyAlignment="1">
      <alignment/>
    </xf>
    <xf numFmtId="0" fontId="132" fillId="0" borderId="0" xfId="55" applyFont="1" applyAlignment="1">
      <alignment vertical="center"/>
      <protection/>
    </xf>
    <xf numFmtId="0" fontId="95" fillId="0" borderId="0" xfId="55" applyFont="1" applyAlignment="1">
      <alignment vertical="center"/>
      <protection/>
    </xf>
    <xf numFmtId="0" fontId="105" fillId="0" borderId="0" xfId="55" applyFont="1" applyAlignment="1">
      <alignment vertical="center"/>
      <protection/>
    </xf>
    <xf numFmtId="0" fontId="114" fillId="0" borderId="0" xfId="55" applyFont="1" applyAlignment="1">
      <alignment vertical="center"/>
      <protection/>
    </xf>
    <xf numFmtId="3" fontId="110" fillId="0" borderId="0" xfId="55" applyNumberFormat="1" applyFont="1" applyAlignment="1">
      <alignment vertical="center"/>
      <protection/>
    </xf>
    <xf numFmtId="0" fontId="100" fillId="33" borderId="0" xfId="51" applyFont="1" applyFill="1" applyAlignment="1">
      <alignment horizontal="center" vertical="center"/>
      <protection/>
    </xf>
    <xf numFmtId="176" fontId="100" fillId="33" borderId="0" xfId="51" applyNumberFormat="1" applyFont="1" applyFill="1" applyAlignment="1">
      <alignment horizontal="center" vertical="center" wrapText="1"/>
      <protection/>
    </xf>
    <xf numFmtId="0" fontId="130" fillId="34" borderId="10" xfId="55" applyNumberFormat="1" applyFont="1" applyFill="1" applyBorder="1" applyAlignment="1">
      <alignment horizontal="center" vertical="center" wrapText="1"/>
      <protection/>
    </xf>
    <xf numFmtId="3" fontId="104" fillId="38" borderId="10" xfId="55" applyNumberFormat="1" applyFont="1" applyFill="1" applyBorder="1" applyAlignment="1">
      <alignment horizontal="center" vertical="center" wrapText="1"/>
      <protection/>
    </xf>
    <xf numFmtId="3" fontId="104" fillId="38" borderId="10" xfId="55" applyNumberFormat="1" applyFont="1" applyFill="1" applyBorder="1" applyAlignment="1">
      <alignment horizontal="right" vertical="center" wrapText="1"/>
      <protection/>
    </xf>
    <xf numFmtId="3" fontId="104" fillId="38" borderId="10" xfId="55" applyNumberFormat="1" applyFont="1" applyFill="1" applyBorder="1" applyAlignment="1">
      <alignment horizontal="left" vertical="center"/>
      <protection/>
    </xf>
    <xf numFmtId="176" fontId="104" fillId="38" borderId="10" xfId="55" applyNumberFormat="1" applyFont="1" applyFill="1" applyBorder="1" applyAlignment="1">
      <alignment horizontal="right" vertical="center" wrapText="1"/>
      <protection/>
    </xf>
    <xf numFmtId="49" fontId="104" fillId="39" borderId="10" xfId="55" applyNumberFormat="1" applyFont="1" applyFill="1" applyBorder="1" applyAlignment="1">
      <alignment horizontal="center" vertical="center"/>
      <protection/>
    </xf>
    <xf numFmtId="49" fontId="104" fillId="39" borderId="10" xfId="55" applyNumberFormat="1" applyFont="1" applyFill="1" applyBorder="1" applyAlignment="1">
      <alignment horizontal="left" vertical="center" wrapText="1"/>
      <protection/>
    </xf>
    <xf numFmtId="49" fontId="104" fillId="0" borderId="10" xfId="55" applyNumberFormat="1" applyFont="1" applyFill="1" applyBorder="1" applyAlignment="1">
      <alignment horizontal="center" vertical="center"/>
      <protection/>
    </xf>
    <xf numFmtId="49" fontId="104" fillId="0" borderId="10" xfId="55" applyNumberFormat="1" applyFont="1" applyFill="1" applyBorder="1" applyAlignment="1">
      <alignment horizontal="left" vertical="center" wrapText="1"/>
      <protection/>
    </xf>
    <xf numFmtId="49" fontId="105" fillId="0" borderId="10" xfId="55" applyNumberFormat="1" applyFont="1" applyFill="1" applyBorder="1" applyAlignment="1">
      <alignment horizontal="center" vertical="center"/>
      <protection/>
    </xf>
    <xf numFmtId="49" fontId="105" fillId="0" borderId="10" xfId="55" applyNumberFormat="1" applyFont="1" applyFill="1" applyBorder="1" applyAlignment="1">
      <alignment horizontal="left" vertical="center" wrapText="1"/>
      <protection/>
    </xf>
    <xf numFmtId="0" fontId="132" fillId="0" borderId="10" xfId="55" applyFont="1" applyBorder="1" applyAlignment="1">
      <alignment vertical="center"/>
      <protection/>
    </xf>
    <xf numFmtId="0" fontId="132" fillId="0" borderId="10" xfId="55" applyFont="1" applyBorder="1" applyAlignment="1">
      <alignment horizontal="right" vertical="center"/>
      <protection/>
    </xf>
    <xf numFmtId="0" fontId="123" fillId="2" borderId="10" xfId="55" applyFont="1" applyFill="1" applyBorder="1" applyAlignment="1">
      <alignment horizontal="right" vertical="center"/>
      <protection/>
    </xf>
    <xf numFmtId="0" fontId="104" fillId="2" borderId="10" xfId="55" applyFont="1" applyFill="1" applyBorder="1" applyAlignment="1">
      <alignment horizontal="center" vertical="center"/>
      <protection/>
    </xf>
    <xf numFmtId="49" fontId="104" fillId="2" borderId="10" xfId="55" applyNumberFormat="1" applyFont="1" applyFill="1" applyBorder="1" applyAlignment="1">
      <alignment horizontal="left" vertical="center" wrapText="1"/>
      <protection/>
    </xf>
    <xf numFmtId="176" fontId="42" fillId="2" borderId="10" xfId="55" applyNumberFormat="1" applyFont="1" applyFill="1" applyBorder="1" applyAlignment="1">
      <alignment horizontal="right" vertical="center"/>
      <protection/>
    </xf>
    <xf numFmtId="0" fontId="123" fillId="0" borderId="10" xfId="55" applyFont="1" applyBorder="1" applyAlignment="1">
      <alignment horizontal="right" vertical="center"/>
      <protection/>
    </xf>
    <xf numFmtId="0" fontId="104" fillId="0" borderId="10" xfId="55" applyFont="1" applyBorder="1" applyAlignment="1">
      <alignment horizontal="center" vertical="center"/>
      <protection/>
    </xf>
    <xf numFmtId="49" fontId="104" fillId="0" borderId="10" xfId="55" applyNumberFormat="1" applyFont="1" applyBorder="1" applyAlignment="1">
      <alignment horizontal="left" vertical="center" wrapText="1"/>
      <protection/>
    </xf>
    <xf numFmtId="0" fontId="115" fillId="0" borderId="10" xfId="55" applyFont="1" applyBorder="1" applyAlignment="1">
      <alignment horizontal="right" vertical="center"/>
      <protection/>
    </xf>
    <xf numFmtId="49" fontId="105" fillId="0" borderId="10" xfId="55" applyNumberFormat="1" applyFont="1" applyBorder="1" applyAlignment="1">
      <alignment horizontal="left" vertical="center" wrapText="1"/>
      <protection/>
    </xf>
    <xf numFmtId="0" fontId="104" fillId="39" borderId="10" xfId="55" applyFont="1" applyFill="1" applyBorder="1" applyAlignment="1">
      <alignment horizontal="right" vertical="center"/>
      <protection/>
    </xf>
    <xf numFmtId="0" fontId="104" fillId="39" borderId="10" xfId="55" applyFont="1" applyFill="1" applyBorder="1" applyAlignment="1">
      <alignment horizontal="center" vertical="center"/>
      <protection/>
    </xf>
    <xf numFmtId="0" fontId="104" fillId="39" borderId="10" xfId="55" applyFont="1" applyFill="1" applyBorder="1" applyAlignment="1">
      <alignment horizontal="left" vertical="center" wrapText="1"/>
      <protection/>
    </xf>
    <xf numFmtId="0" fontId="104" fillId="35" borderId="10" xfId="55" applyFont="1" applyFill="1" applyBorder="1" applyAlignment="1">
      <alignment horizontal="center" vertical="center"/>
      <protection/>
    </xf>
    <xf numFmtId="0" fontId="104" fillId="35" borderId="10" xfId="55" applyFont="1" applyFill="1" applyBorder="1" applyAlignment="1">
      <alignment horizontal="left" vertical="center" wrapText="1"/>
      <protection/>
    </xf>
    <xf numFmtId="0" fontId="105" fillId="35" borderId="10" xfId="55" applyFont="1" applyFill="1" applyBorder="1" applyAlignment="1">
      <alignment horizontal="center" vertical="center"/>
      <protection/>
    </xf>
    <xf numFmtId="0" fontId="105" fillId="35" borderId="10" xfId="55" applyFont="1" applyFill="1" applyBorder="1" applyAlignment="1">
      <alignment horizontal="left" vertical="center" wrapText="1"/>
      <protection/>
    </xf>
    <xf numFmtId="0" fontId="134" fillId="0" borderId="10" xfId="55" applyFont="1" applyBorder="1">
      <alignment/>
      <protection/>
    </xf>
    <xf numFmtId="0" fontId="135" fillId="0" borderId="10" xfId="55" applyFont="1" applyBorder="1">
      <alignment/>
      <protection/>
    </xf>
    <xf numFmtId="0" fontId="131" fillId="0" borderId="10" xfId="55" applyFont="1" applyBorder="1" applyAlignment="1">
      <alignment horizontal="center" vertical="center"/>
      <protection/>
    </xf>
    <xf numFmtId="176" fontId="1" fillId="0" borderId="10" xfId="55" applyNumberFormat="1" applyFont="1" applyBorder="1">
      <alignment/>
      <protection/>
    </xf>
    <xf numFmtId="176" fontId="104" fillId="39" borderId="10" xfId="55" applyNumberFormat="1" applyFont="1" applyFill="1" applyBorder="1" applyAlignment="1">
      <alignment horizontal="right" vertical="center" wrapText="1"/>
      <protection/>
    </xf>
    <xf numFmtId="176" fontId="104" fillId="35" borderId="10" xfId="55" applyNumberFormat="1" applyFont="1" applyFill="1" applyBorder="1" applyAlignment="1">
      <alignment horizontal="right" vertical="center" wrapText="1"/>
      <protection/>
    </xf>
    <xf numFmtId="176" fontId="105" fillId="35" borderId="10" xfId="55" applyNumberFormat="1" applyFont="1" applyFill="1" applyBorder="1" applyAlignment="1">
      <alignment horizontal="right" vertical="center" wrapText="1"/>
      <protection/>
    </xf>
    <xf numFmtId="0" fontId="105" fillId="34" borderId="10" xfId="55" applyFont="1" applyFill="1" applyBorder="1" applyAlignment="1">
      <alignment horizontal="center" vertical="center"/>
      <protection/>
    </xf>
    <xf numFmtId="49" fontId="105" fillId="34" borderId="10" xfId="55" applyNumberFormat="1" applyFont="1" applyFill="1" applyBorder="1" applyAlignment="1">
      <alignment horizontal="left" vertical="center" wrapText="1"/>
      <protection/>
    </xf>
    <xf numFmtId="0" fontId="115" fillId="33" borderId="10" xfId="55" applyFont="1" applyFill="1" applyBorder="1" applyAlignment="1">
      <alignment vertical="center"/>
      <protection/>
    </xf>
    <xf numFmtId="176" fontId="105" fillId="34" borderId="10" xfId="55" applyNumberFormat="1" applyFont="1" applyFill="1" applyBorder="1" applyAlignment="1">
      <alignment horizontal="right" vertical="center"/>
      <protection/>
    </xf>
    <xf numFmtId="0" fontId="108" fillId="10" borderId="24" xfId="55" applyFont="1" applyFill="1" applyBorder="1" applyAlignment="1">
      <alignment horizontal="center" vertical="center"/>
      <protection/>
    </xf>
    <xf numFmtId="49" fontId="108" fillId="10" borderId="24" xfId="55" applyNumberFormat="1" applyFont="1" applyFill="1" applyBorder="1" applyAlignment="1">
      <alignment horizontal="left" vertical="center" wrapText="1"/>
      <protection/>
    </xf>
    <xf numFmtId="0" fontId="123" fillId="14" borderId="10" xfId="55" applyFont="1" applyFill="1" applyBorder="1" applyAlignment="1">
      <alignment vertical="center"/>
      <protection/>
    </xf>
    <xf numFmtId="0" fontId="104" fillId="14" borderId="10" xfId="55" applyFont="1" applyFill="1" applyBorder="1" applyAlignment="1">
      <alignment horizontal="center" vertical="center"/>
      <protection/>
    </xf>
    <xf numFmtId="49" fontId="104" fillId="14" borderId="10" xfId="55" applyNumberFormat="1" applyFont="1" applyFill="1" applyBorder="1" applyAlignment="1">
      <alignment horizontal="left" vertical="center" wrapText="1"/>
      <protection/>
    </xf>
    <xf numFmtId="0" fontId="105" fillId="0" borderId="10" xfId="55" applyFont="1" applyBorder="1" applyAlignment="1">
      <alignment horizontal="center" vertical="center"/>
      <protection/>
    </xf>
    <xf numFmtId="3" fontId="104" fillId="0" borderId="10" xfId="55" applyNumberFormat="1" applyFont="1" applyBorder="1" applyAlignment="1">
      <alignment horizontal="center" vertical="center" wrapText="1"/>
      <protection/>
    </xf>
    <xf numFmtId="3" fontId="104" fillId="14" borderId="10" xfId="55" applyNumberFormat="1" applyFont="1" applyFill="1" applyBorder="1" applyAlignment="1">
      <alignment vertical="center"/>
      <protection/>
    </xf>
    <xf numFmtId="3" fontId="104" fillId="2" borderId="10" xfId="55" applyNumberFormat="1" applyFont="1" applyFill="1" applyBorder="1" applyAlignment="1">
      <alignment vertical="center"/>
      <protection/>
    </xf>
    <xf numFmtId="3" fontId="104" fillId="0" borderId="10" xfId="55" applyNumberFormat="1" applyFont="1" applyFill="1" applyBorder="1" applyAlignment="1">
      <alignment vertical="center"/>
      <protection/>
    </xf>
    <xf numFmtId="3" fontId="105" fillId="0" borderId="10" xfId="55" applyNumberFormat="1" applyFont="1" applyFill="1" applyBorder="1" applyAlignment="1">
      <alignment vertical="center"/>
      <protection/>
    </xf>
    <xf numFmtId="3" fontId="104" fillId="0" borderId="10" xfId="55" applyNumberFormat="1" applyFont="1" applyBorder="1" applyAlignment="1">
      <alignment vertical="center"/>
      <protection/>
    </xf>
    <xf numFmtId="3" fontId="105" fillId="0" borderId="10" xfId="55" applyNumberFormat="1" applyFont="1" applyBorder="1" applyAlignment="1">
      <alignment vertical="center"/>
      <protection/>
    </xf>
    <xf numFmtId="3" fontId="108" fillId="10" borderId="10" xfId="55" applyNumberFormat="1" applyFont="1" applyFill="1" applyBorder="1" applyAlignment="1">
      <alignment vertical="center"/>
      <protection/>
    </xf>
    <xf numFmtId="3" fontId="132" fillId="0" borderId="0" xfId="55" applyNumberFormat="1" applyFont="1" applyAlignment="1">
      <alignment vertical="center"/>
      <protection/>
    </xf>
    <xf numFmtId="3" fontId="132" fillId="0" borderId="10" xfId="55" applyNumberFormat="1" applyFont="1" applyFill="1" applyBorder="1" applyAlignment="1">
      <alignment vertical="center"/>
      <protection/>
    </xf>
    <xf numFmtId="3" fontId="95" fillId="0" borderId="10" xfId="55" applyNumberFormat="1" applyFont="1" applyFill="1" applyBorder="1" applyAlignment="1">
      <alignment vertical="center"/>
      <protection/>
    </xf>
    <xf numFmtId="3" fontId="134" fillId="0" borderId="10" xfId="55" applyNumberFormat="1" applyFont="1" applyBorder="1" applyAlignment="1">
      <alignment vertical="center"/>
      <protection/>
    </xf>
    <xf numFmtId="3" fontId="135" fillId="0" borderId="10" xfId="55" applyNumberFormat="1" applyFont="1" applyBorder="1" applyAlignment="1">
      <alignment vertical="center"/>
      <protection/>
    </xf>
    <xf numFmtId="3" fontId="132" fillId="10" borderId="10" xfId="55" applyNumberFormat="1" applyFont="1" applyFill="1" applyBorder="1" applyAlignment="1">
      <alignment vertical="center"/>
      <protection/>
    </xf>
    <xf numFmtId="3" fontId="96" fillId="14" borderId="10" xfId="55" applyNumberFormat="1" applyFont="1" applyFill="1" applyBorder="1" applyAlignment="1">
      <alignment vertical="center"/>
      <protection/>
    </xf>
    <xf numFmtId="0" fontId="123" fillId="0" borderId="24" xfId="55" applyFont="1" applyBorder="1" applyAlignment="1">
      <alignment vertical="center"/>
      <protection/>
    </xf>
    <xf numFmtId="0" fontId="104" fillId="0" borderId="24" xfId="55" applyFont="1" applyBorder="1" applyAlignment="1">
      <alignment horizontal="center" vertical="center"/>
      <protection/>
    </xf>
    <xf numFmtId="49" fontId="104" fillId="0" borderId="24" xfId="55" applyNumberFormat="1" applyFont="1" applyBorder="1" applyAlignment="1">
      <alignment horizontal="left" vertical="center" wrapText="1"/>
      <protection/>
    </xf>
    <xf numFmtId="176" fontId="104" fillId="0" borderId="24" xfId="55" applyNumberFormat="1" applyFont="1" applyBorder="1" applyAlignment="1">
      <alignment horizontal="right" vertical="center"/>
      <protection/>
    </xf>
    <xf numFmtId="0" fontId="115" fillId="0" borderId="24" xfId="55" applyFont="1" applyBorder="1" applyAlignment="1">
      <alignment vertical="center"/>
      <protection/>
    </xf>
    <xf numFmtId="0" fontId="105" fillId="0" borderId="24" xfId="55" applyFont="1" applyBorder="1" applyAlignment="1">
      <alignment horizontal="center" vertical="center"/>
      <protection/>
    </xf>
    <xf numFmtId="49" fontId="105" fillId="0" borderId="24" xfId="55" applyNumberFormat="1" applyFont="1" applyBorder="1" applyAlignment="1">
      <alignment horizontal="left" vertical="center" wrapText="1"/>
      <protection/>
    </xf>
    <xf numFmtId="176" fontId="105" fillId="0" borderId="24" xfId="55" applyNumberFormat="1" applyFont="1" applyBorder="1" applyAlignment="1">
      <alignment horizontal="right" vertical="center"/>
      <protection/>
    </xf>
    <xf numFmtId="176" fontId="100" fillId="35" borderId="27" xfId="55" applyNumberFormat="1" applyFont="1" applyFill="1" applyBorder="1" applyAlignment="1">
      <alignment horizontal="right" vertical="center"/>
      <protection/>
    </xf>
    <xf numFmtId="3" fontId="100" fillId="35" borderId="0" xfId="55" applyNumberFormat="1" applyFont="1" applyFill="1" applyBorder="1" applyAlignment="1">
      <alignment horizontal="right" vertical="center"/>
      <protection/>
    </xf>
    <xf numFmtId="176" fontId="100" fillId="35" borderId="0" xfId="55" applyNumberFormat="1" applyFont="1" applyFill="1" applyBorder="1" applyAlignment="1">
      <alignment horizontal="right" vertical="center"/>
      <protection/>
    </xf>
    <xf numFmtId="176" fontId="100" fillId="41" borderId="0" xfId="55" applyNumberFormat="1" applyFont="1" applyFill="1" applyBorder="1" applyAlignment="1">
      <alignment horizontal="right" vertical="center"/>
      <protection/>
    </xf>
    <xf numFmtId="176" fontId="104" fillId="42" borderId="10" xfId="55" applyNumberFormat="1" applyFont="1" applyFill="1" applyBorder="1" applyAlignment="1">
      <alignment horizontal="right" vertical="center"/>
      <protection/>
    </xf>
    <xf numFmtId="176" fontId="99" fillId="35" borderId="0" xfId="55" applyNumberFormat="1" applyFont="1" applyFill="1" applyAlignment="1">
      <alignment horizontal="right" vertical="center"/>
      <protection/>
    </xf>
    <xf numFmtId="3" fontId="99" fillId="35" borderId="0" xfId="55" applyNumberFormat="1" applyFont="1" applyFill="1" applyAlignment="1">
      <alignment horizontal="right" vertical="center"/>
      <protection/>
    </xf>
    <xf numFmtId="4" fontId="99" fillId="35" borderId="0" xfId="55" applyNumberFormat="1" applyFont="1" applyFill="1" applyAlignment="1">
      <alignment horizontal="right" vertical="center"/>
      <protection/>
    </xf>
    <xf numFmtId="0" fontId="124" fillId="34" borderId="10" xfId="65" applyNumberFormat="1" applyFont="1" applyFill="1" applyBorder="1" applyAlignment="1">
      <alignment horizontal="center" vertical="center" wrapText="1"/>
    </xf>
    <xf numFmtId="3" fontId="104" fillId="0" borderId="24" xfId="55" applyNumberFormat="1" applyFont="1" applyBorder="1" applyAlignment="1">
      <alignment vertical="center"/>
      <protection/>
    </xf>
    <xf numFmtId="3" fontId="105" fillId="0" borderId="24" xfId="55" applyNumberFormat="1" applyFont="1" applyBorder="1" applyAlignment="1">
      <alignment vertical="center"/>
      <protection/>
    </xf>
    <xf numFmtId="3" fontId="132" fillId="10" borderId="24" xfId="55" applyNumberFormat="1" applyFont="1" applyFill="1" applyBorder="1" applyAlignment="1">
      <alignment vertical="center"/>
      <protection/>
    </xf>
    <xf numFmtId="3" fontId="108" fillId="10" borderId="24" xfId="55" applyNumberFormat="1" applyFont="1" applyFill="1" applyBorder="1" applyAlignment="1">
      <alignment vertical="center"/>
      <protection/>
    </xf>
    <xf numFmtId="3" fontId="100" fillId="0" borderId="31" xfId="55" applyNumberFormat="1" applyFont="1" applyBorder="1" applyAlignment="1">
      <alignment horizontal="right" vertical="center"/>
      <protection/>
    </xf>
    <xf numFmtId="3" fontId="100" fillId="0" borderId="0" xfId="55" applyNumberFormat="1" applyFont="1" applyBorder="1" applyAlignment="1">
      <alignment horizontal="right" vertical="center"/>
      <protection/>
    </xf>
    <xf numFmtId="3" fontId="131" fillId="0" borderId="10" xfId="55" applyNumberFormat="1" applyFont="1" applyBorder="1" applyAlignment="1">
      <alignment horizontal="right" vertical="center"/>
      <protection/>
    </xf>
    <xf numFmtId="0" fontId="112" fillId="2" borderId="10" xfId="55" applyFont="1" applyFill="1" applyBorder="1" applyAlignment="1">
      <alignment horizontal="right" vertical="center"/>
      <protection/>
    </xf>
    <xf numFmtId="0" fontId="112" fillId="2" borderId="10" xfId="55" applyFont="1" applyFill="1" applyBorder="1" applyAlignment="1">
      <alignment vertical="center"/>
      <protection/>
    </xf>
    <xf numFmtId="0" fontId="112" fillId="2" borderId="10" xfId="55" applyFont="1" applyFill="1" applyBorder="1">
      <alignment/>
      <protection/>
    </xf>
    <xf numFmtId="0" fontId="112" fillId="0" borderId="10" xfId="55" applyFont="1" applyFill="1" applyBorder="1" applyAlignment="1">
      <alignment horizontal="right" vertical="center"/>
      <protection/>
    </xf>
    <xf numFmtId="0" fontId="112" fillId="0" borderId="10" xfId="55" applyFont="1" applyFill="1" applyBorder="1" applyAlignment="1">
      <alignment vertical="center"/>
      <protection/>
    </xf>
    <xf numFmtId="0" fontId="112" fillId="0" borderId="10" xfId="55" applyFont="1" applyFill="1" applyBorder="1">
      <alignment/>
      <protection/>
    </xf>
    <xf numFmtId="0" fontId="113" fillId="0" borderId="10" xfId="55" applyFont="1" applyFill="1" applyBorder="1" applyAlignment="1">
      <alignment horizontal="right" vertical="center"/>
      <protection/>
    </xf>
    <xf numFmtId="0" fontId="113" fillId="0" borderId="10" xfId="55" applyFont="1" applyFill="1" applyBorder="1" applyAlignment="1">
      <alignment vertical="center"/>
      <protection/>
    </xf>
    <xf numFmtId="0" fontId="113" fillId="0" borderId="10" xfId="55" applyFont="1" applyFill="1" applyBorder="1">
      <alignment/>
      <protection/>
    </xf>
    <xf numFmtId="49" fontId="104" fillId="14" borderId="10" xfId="55" applyNumberFormat="1" applyFont="1" applyFill="1" applyBorder="1" applyAlignment="1">
      <alignment horizontal="right" vertical="center"/>
      <protection/>
    </xf>
    <xf numFmtId="0" fontId="104" fillId="14" borderId="10" xfId="55" applyFont="1" applyFill="1" applyBorder="1" applyAlignment="1">
      <alignment vertical="center"/>
      <protection/>
    </xf>
    <xf numFmtId="176" fontId="104" fillId="14" borderId="10" xfId="55" applyNumberFormat="1" applyFont="1" applyFill="1" applyBorder="1" applyAlignment="1">
      <alignment vertical="center"/>
      <protection/>
    </xf>
    <xf numFmtId="0" fontId="1" fillId="0" borderId="22" xfId="55" applyFont="1" applyFill="1" applyBorder="1" applyAlignment="1">
      <alignment vertical="center"/>
      <protection/>
    </xf>
    <xf numFmtId="3" fontId="132" fillId="0" borderId="10" xfId="55" applyNumberFormat="1" applyFont="1" applyBorder="1" applyAlignment="1">
      <alignment horizontal="right" vertical="center"/>
      <protection/>
    </xf>
    <xf numFmtId="3" fontId="95" fillId="0" borderId="10" xfId="55" applyNumberFormat="1" applyFont="1" applyBorder="1" applyAlignment="1">
      <alignment horizontal="right" vertical="center"/>
      <protection/>
    </xf>
    <xf numFmtId="3" fontId="104" fillId="0" borderId="0" xfId="55" applyNumberFormat="1" applyFont="1" applyFill="1" applyAlignment="1">
      <alignment vertical="center"/>
      <protection/>
    </xf>
    <xf numFmtId="49" fontId="132" fillId="38" borderId="10" xfId="55" applyNumberFormat="1" applyFont="1" applyFill="1" applyBorder="1" applyAlignment="1">
      <alignment horizontal="right" vertical="center"/>
      <protection/>
    </xf>
    <xf numFmtId="176" fontId="134" fillId="38" borderId="10" xfId="55" applyNumberFormat="1" applyFont="1" applyFill="1" applyBorder="1" applyAlignment="1">
      <alignment horizontal="right" vertical="center"/>
      <protection/>
    </xf>
    <xf numFmtId="3" fontId="104" fillId="42" borderId="0" xfId="55" applyNumberFormat="1" applyFont="1" applyFill="1" applyAlignment="1">
      <alignment horizontal="right" vertical="center"/>
      <protection/>
    </xf>
    <xf numFmtId="4" fontId="104" fillId="42" borderId="0" xfId="55" applyNumberFormat="1" applyFont="1" applyFill="1" applyAlignment="1">
      <alignment vertical="center"/>
      <protection/>
    </xf>
    <xf numFmtId="3" fontId="108" fillId="0" borderId="10" xfId="55" applyNumberFormat="1" applyFont="1" applyBorder="1" applyAlignment="1">
      <alignment horizontal="right" vertical="center"/>
      <protection/>
    </xf>
    <xf numFmtId="3" fontId="108" fillId="0" borderId="24" xfId="55" applyNumberFormat="1" applyFont="1" applyBorder="1" applyAlignment="1">
      <alignment horizontal="right" vertical="center"/>
      <protection/>
    </xf>
    <xf numFmtId="0" fontId="142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41" fillId="0" borderId="0" xfId="0" applyFont="1" applyAlignment="1">
      <alignment wrapText="1"/>
    </xf>
    <xf numFmtId="0" fontId="96" fillId="0" borderId="32" xfId="0" applyFont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3" fontId="9" fillId="2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3" fillId="0" borderId="32" xfId="0" applyFont="1" applyBorder="1" applyAlignment="1">
      <alignment horizontal="right" vertical="center"/>
    </xf>
    <xf numFmtId="3" fontId="9" fillId="2" borderId="10" xfId="0" applyNumberFormat="1" applyFont="1" applyFill="1" applyBorder="1" applyAlignment="1" applyProtection="1">
      <alignment horizontal="righ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20" fillId="33" borderId="11" xfId="53" applyFont="1" applyFill="1" applyBorder="1" applyAlignment="1" quotePrefix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wrapText="1"/>
      <protection/>
    </xf>
    <xf numFmtId="0" fontId="9" fillId="0" borderId="21" xfId="0" applyFont="1" applyBorder="1" applyAlignment="1" quotePrefix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2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quotePrefix="1">
      <alignment horizontal="left" vertical="center"/>
    </xf>
    <xf numFmtId="0" fontId="2" fillId="0" borderId="21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21" xfId="0" applyFont="1" applyBorder="1" applyAlignment="1" quotePrefix="1">
      <alignment horizontal="left" vertical="center"/>
    </xf>
    <xf numFmtId="0" fontId="2" fillId="2" borderId="21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96" fillId="0" borderId="0" xfId="0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9" fillId="2" borderId="21" xfId="0" applyNumberFormat="1" applyFont="1" applyFill="1" applyBorder="1" applyAlignment="1" applyProtection="1">
      <alignment horizontal="left" vertical="center" wrapText="1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0" fontId="9" fillId="2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3" fontId="100" fillId="35" borderId="33" xfId="55" applyNumberFormat="1" applyFont="1" applyFill="1" applyBorder="1" applyAlignment="1">
      <alignment horizontal="center" vertical="center" wrapText="1"/>
      <protection/>
    </xf>
    <xf numFmtId="3" fontId="100" fillId="35" borderId="0" xfId="55" applyNumberFormat="1" applyFont="1" applyFill="1" applyAlignment="1">
      <alignment horizontal="center" vertical="center" wrapText="1"/>
      <protection/>
    </xf>
    <xf numFmtId="0" fontId="124" fillId="34" borderId="10" xfId="55" applyFont="1" applyFill="1" applyBorder="1" applyAlignment="1">
      <alignment horizontal="center" vertical="center" wrapText="1"/>
      <protection/>
    </xf>
    <xf numFmtId="3" fontId="100" fillId="35" borderId="34" xfId="55" applyNumberFormat="1" applyFont="1" applyFill="1" applyBorder="1" applyAlignment="1">
      <alignment horizontal="right" vertical="center"/>
      <protection/>
    </xf>
    <xf numFmtId="3" fontId="100" fillId="35" borderId="35" xfId="55" applyNumberFormat="1" applyFont="1" applyFill="1" applyBorder="1" applyAlignment="1">
      <alignment horizontal="right" vertical="center"/>
      <protection/>
    </xf>
    <xf numFmtId="3" fontId="100" fillId="35" borderId="36" xfId="55" applyNumberFormat="1" applyFont="1" applyFill="1" applyBorder="1" applyAlignment="1">
      <alignment horizontal="right" vertical="center"/>
      <protection/>
    </xf>
    <xf numFmtId="0" fontId="100" fillId="33" borderId="0" xfId="51" applyFont="1" applyFill="1" applyAlignment="1">
      <alignment horizontal="center" vertical="center" wrapText="1"/>
      <protection/>
    </xf>
    <xf numFmtId="0" fontId="100" fillId="33" borderId="0" xfId="51" applyFont="1" applyFill="1" applyAlignment="1">
      <alignment horizontal="center" vertical="center" wrapText="1"/>
      <protection/>
    </xf>
    <xf numFmtId="3" fontId="100" fillId="34" borderId="33" xfId="55" applyNumberFormat="1" applyFont="1" applyFill="1" applyBorder="1" applyAlignment="1">
      <alignment horizontal="center" vertical="center" wrapText="1"/>
      <protection/>
    </xf>
    <xf numFmtId="3" fontId="100" fillId="34" borderId="0" xfId="55" applyNumberFormat="1" applyFont="1" applyFill="1" applyAlignment="1">
      <alignment horizontal="center" vertical="center" wrapText="1"/>
      <protection/>
    </xf>
    <xf numFmtId="0" fontId="129" fillId="0" borderId="0" xfId="0" applyFont="1" applyAlignment="1">
      <alignment horizontal="center"/>
    </xf>
    <xf numFmtId="0" fontId="129" fillId="33" borderId="0" xfId="51" applyFont="1" applyFill="1" applyAlignment="1">
      <alignment horizontal="center" vertical="center" wrapText="1"/>
      <protection/>
    </xf>
    <xf numFmtId="0" fontId="144" fillId="0" borderId="0" xfId="55" applyFont="1" applyAlignment="1">
      <alignment horizontal="center" wrapText="1"/>
      <protection/>
    </xf>
    <xf numFmtId="3" fontId="129" fillId="34" borderId="37" xfId="55" applyNumberFormat="1" applyFont="1" applyFill="1" applyBorder="1" applyAlignment="1">
      <alignment horizontal="center" vertical="center" wrapText="1"/>
      <protection/>
    </xf>
    <xf numFmtId="3" fontId="129" fillId="34" borderId="32" xfId="55" applyNumberFormat="1" applyFont="1" applyFill="1" applyBorder="1" applyAlignment="1">
      <alignment horizontal="center" vertical="center" wrapText="1"/>
      <protection/>
    </xf>
    <xf numFmtId="0" fontId="72" fillId="40" borderId="21" xfId="55" applyFont="1" applyFill="1" applyBorder="1" applyAlignment="1">
      <alignment horizontal="center" vertical="center"/>
      <protection/>
    </xf>
    <xf numFmtId="0" fontId="72" fillId="40" borderId="14" xfId="55" applyFont="1" applyFill="1" applyBorder="1" applyAlignment="1">
      <alignment horizontal="center" vertical="center"/>
      <protection/>
    </xf>
    <xf numFmtId="0" fontId="72" fillId="40" borderId="22" xfId="55" applyFont="1" applyFill="1" applyBorder="1" applyAlignment="1">
      <alignment horizontal="center" vertical="center"/>
      <protection/>
    </xf>
    <xf numFmtId="3" fontId="4" fillId="34" borderId="0" xfId="55" applyNumberFormat="1" applyFont="1" applyFill="1" applyBorder="1" applyAlignment="1">
      <alignment horizontal="center" vertical="center" wrapText="1"/>
      <protection/>
    </xf>
    <xf numFmtId="0" fontId="73" fillId="0" borderId="21" xfId="55" applyFont="1" applyBorder="1" applyAlignment="1">
      <alignment horizontal="center"/>
      <protection/>
    </xf>
    <xf numFmtId="0" fontId="73" fillId="0" borderId="14" xfId="55" applyFont="1" applyBorder="1" applyAlignment="1">
      <alignment horizontal="center"/>
      <protection/>
    </xf>
    <xf numFmtId="0" fontId="73" fillId="0" borderId="22" xfId="55" applyFont="1" applyBorder="1" applyAlignment="1">
      <alignment horizontal="center"/>
      <protection/>
    </xf>
    <xf numFmtId="0" fontId="72" fillId="40" borderId="21" xfId="55" applyFont="1" applyFill="1" applyBorder="1" applyAlignment="1">
      <alignment horizontal="center"/>
      <protection/>
    </xf>
    <xf numFmtId="0" fontId="72" fillId="40" borderId="14" xfId="55" applyFont="1" applyFill="1" applyBorder="1" applyAlignment="1">
      <alignment horizontal="center"/>
      <protection/>
    </xf>
    <xf numFmtId="0" fontId="72" fillId="40" borderId="22" xfId="55" applyFont="1" applyFill="1" applyBorder="1" applyAlignment="1">
      <alignment horizontal="center"/>
      <protection/>
    </xf>
    <xf numFmtId="0" fontId="4" fillId="33" borderId="0" xfId="51" applyFont="1" applyFill="1" applyAlignment="1">
      <alignment horizontal="center" vertical="center"/>
      <protection/>
    </xf>
    <xf numFmtId="0" fontId="4" fillId="33" borderId="0" xfId="51" applyFont="1" applyFill="1" applyAlignment="1">
      <alignment horizontal="center" vertical="center" wrapText="1"/>
      <protection/>
    </xf>
    <xf numFmtId="0" fontId="4" fillId="33" borderId="0" xfId="51" applyFont="1" applyFill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3" fontId="4" fillId="34" borderId="37" xfId="55" applyNumberFormat="1" applyFont="1" applyFill="1" applyBorder="1" applyAlignment="1">
      <alignment horizontal="center" vertical="center" wrapText="1"/>
      <protection/>
    </xf>
    <xf numFmtId="3" fontId="4" fillId="34" borderId="32" xfId="55" applyNumberFormat="1" applyFont="1" applyFill="1" applyBorder="1" applyAlignment="1">
      <alignment horizontal="center" vertical="center" wrapText="1"/>
      <protection/>
    </xf>
    <xf numFmtId="3" fontId="4" fillId="34" borderId="38" xfId="55" applyNumberFormat="1" applyFont="1" applyFill="1" applyBorder="1" applyAlignment="1">
      <alignment horizontal="center" vertical="center" wrapText="1"/>
      <protection/>
    </xf>
    <xf numFmtId="3" fontId="1" fillId="35" borderId="21" xfId="55" applyNumberFormat="1" applyFont="1" applyFill="1" applyBorder="1" applyAlignment="1">
      <alignment horizontal="center" vertical="center" wrapText="1"/>
      <protection/>
    </xf>
    <xf numFmtId="3" fontId="1" fillId="35" borderId="14" xfId="55" applyNumberFormat="1" applyFont="1" applyFill="1" applyBorder="1" applyAlignment="1">
      <alignment horizontal="center" vertical="center" wrapText="1"/>
      <protection/>
    </xf>
    <xf numFmtId="3" fontId="1" fillId="35" borderId="22" xfId="55" applyNumberFormat="1" applyFont="1" applyFill="1" applyBorder="1" applyAlignment="1">
      <alignment horizontal="center" vertical="center" wrapText="1"/>
      <protection/>
    </xf>
    <xf numFmtId="0" fontId="110" fillId="33" borderId="0" xfId="51" applyFont="1" applyFill="1" applyAlignment="1">
      <alignment wrapText="1"/>
      <protection/>
    </xf>
    <xf numFmtId="0" fontId="110" fillId="33" borderId="0" xfId="51" applyFont="1" applyFill="1" applyAlignment="1">
      <alignment vertical="center" wrapText="1"/>
      <protection/>
    </xf>
    <xf numFmtId="0" fontId="100" fillId="33" borderId="0" xfId="53" applyFont="1" applyFill="1" applyAlignment="1">
      <alignment horizontal="center" vertical="center" wrapText="1"/>
      <protection/>
    </xf>
    <xf numFmtId="0" fontId="119" fillId="33" borderId="11" xfId="53" applyFont="1" applyFill="1" applyBorder="1" applyAlignment="1">
      <alignment horizontal="center" vertical="center" wrapText="1"/>
      <protection/>
    </xf>
    <xf numFmtId="0" fontId="100" fillId="33" borderId="0" xfId="51" applyFont="1" applyFill="1" applyBorder="1" applyAlignment="1">
      <alignment horizontal="center" vertical="center" wrapText="1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Normalno 3 3" xfId="53"/>
    <cellStyle name="Normalno 4" xfId="54"/>
    <cellStyle name="Obično 4" xfId="55"/>
    <cellStyle name="Obično_List9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Valuta 3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HO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2024\PRORA&#268;UNSKI%20KORISNICI\PRORA&#268;UNSKI%20KORISNICI%20-%20Poslano%20u%20Slu&#382;bu\2024\PRORA&#268;UNSKI%20KORISNICI\PRORA&#268;UNSKI%20KORISNICI%20-%20Poslano%20u%20Slu&#382;bu\PK%20-%20Posebni%20dio%20rasho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RIHODI I RASHODI-izvori"/>
      <sheetName val=" PRIHODI I RASHODI-izvori (2)"/>
      <sheetName val=" PRIHODI I RASHODI-izvori ( (3)"/>
      <sheetName val=" PRIHODI I RASHODI-izvori ( (4)"/>
      <sheetName val=" PRIHODI I RASHODI-izvori ( (5)"/>
      <sheetName val=" PRIHODI I RASHODI-izvori ( (6)"/>
      <sheetName val="Prihodi po ek klas i izvorima"/>
      <sheetName val="Prihodi po ekonomskoj klas"/>
    </sheetNames>
    <sheetDataSet>
      <sheetData sheetId="6">
        <row r="8">
          <cell r="G8">
            <v>9446273.44</v>
          </cell>
          <cell r="H8">
            <v>9491928.629999999</v>
          </cell>
        </row>
        <row r="14">
          <cell r="E14">
            <v>117197.24</v>
          </cell>
          <cell r="F14">
            <v>19908.42</v>
          </cell>
          <cell r="G14">
            <v>125000</v>
          </cell>
          <cell r="H14">
            <v>37755.49</v>
          </cell>
        </row>
        <row r="16">
          <cell r="E16">
            <v>68234.89</v>
          </cell>
          <cell r="F16">
            <v>796.34</v>
          </cell>
          <cell r="G16">
            <v>0</v>
          </cell>
          <cell r="H16">
            <v>101327.67</v>
          </cell>
        </row>
        <row r="18">
          <cell r="E18">
            <v>37127.49</v>
          </cell>
          <cell r="G18">
            <v>75000</v>
          </cell>
          <cell r="H18">
            <v>72813.98</v>
          </cell>
        </row>
        <row r="19">
          <cell r="E19">
            <v>2226.8</v>
          </cell>
        </row>
        <row r="28">
          <cell r="E28">
            <v>293266.66</v>
          </cell>
          <cell r="F28">
            <v>364987.72</v>
          </cell>
          <cell r="G28">
            <v>343000</v>
          </cell>
          <cell r="H28">
            <v>317079.9</v>
          </cell>
        </row>
        <row r="31">
          <cell r="E31">
            <v>6448876.39</v>
          </cell>
          <cell r="F31">
            <v>6105249.19</v>
          </cell>
          <cell r="G31">
            <v>6700000</v>
          </cell>
          <cell r="H31">
            <v>6731754.32</v>
          </cell>
        </row>
        <row r="38">
          <cell r="E38">
            <v>5.56</v>
          </cell>
          <cell r="F38">
            <v>398.17</v>
          </cell>
          <cell r="G38">
            <v>300</v>
          </cell>
          <cell r="H38">
            <v>339.76</v>
          </cell>
        </row>
        <row r="39">
          <cell r="E39">
            <v>274.13</v>
          </cell>
          <cell r="F39">
            <v>265.44</v>
          </cell>
          <cell r="G39">
            <v>400</v>
          </cell>
        </row>
        <row r="40">
          <cell r="H40">
            <v>274.2</v>
          </cell>
        </row>
        <row r="43">
          <cell r="H43">
            <v>2208.06</v>
          </cell>
        </row>
        <row r="46">
          <cell r="E46">
            <v>1121722.52</v>
          </cell>
          <cell r="F46">
            <v>796336.85</v>
          </cell>
          <cell r="G46">
            <v>1180000</v>
          </cell>
          <cell r="H46">
            <v>1215923.61</v>
          </cell>
        </row>
        <row r="47">
          <cell r="E47">
            <v>349932.2</v>
          </cell>
          <cell r="F47">
            <v>245537.2</v>
          </cell>
          <cell r="G47">
            <v>380000</v>
          </cell>
          <cell r="H47">
            <v>361628.76</v>
          </cell>
        </row>
        <row r="50">
          <cell r="E50">
            <v>105828.95</v>
          </cell>
          <cell r="F50">
            <v>131395.58</v>
          </cell>
          <cell r="G50">
            <v>120000</v>
          </cell>
          <cell r="H50">
            <v>117973.66</v>
          </cell>
        </row>
        <row r="54">
          <cell r="G54">
            <v>1310</v>
          </cell>
          <cell r="H54">
            <v>1310</v>
          </cell>
        </row>
        <row r="55">
          <cell r="H55">
            <v>5000</v>
          </cell>
        </row>
        <row r="59">
          <cell r="E59">
            <v>3769.67</v>
          </cell>
          <cell r="G59">
            <v>7000</v>
          </cell>
          <cell r="H59">
            <v>12275.78</v>
          </cell>
        </row>
        <row r="66">
          <cell r="G66">
            <v>1000</v>
          </cell>
          <cell r="H66">
            <v>3892.2</v>
          </cell>
        </row>
        <row r="70">
          <cell r="F70">
            <v>2654.46</v>
          </cell>
        </row>
        <row r="72">
          <cell r="E72">
            <v>445702.03</v>
          </cell>
        </row>
        <row r="73">
          <cell r="E73">
            <v>133282.63</v>
          </cell>
          <cell r="F73">
            <v>372063.44</v>
          </cell>
          <cell r="G73">
            <v>129904.53</v>
          </cell>
          <cell r="H73">
            <v>132104.53</v>
          </cell>
        </row>
        <row r="74">
          <cell r="E74">
            <v>312419.4</v>
          </cell>
          <cell r="F74">
            <v>140000</v>
          </cell>
          <cell r="G74">
            <v>384358.91</v>
          </cell>
          <cell r="H74">
            <v>382158.91</v>
          </cell>
        </row>
        <row r="76">
          <cell r="H76">
            <v>9495820.829999998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EBNI_DIO_dz vk"/>
      <sheetName val="POSEBNI_DIO_dz vu"/>
      <sheetName val="POSEBNI_DIO_ZHM VSŽ"/>
      <sheetName val="POSEBNI_DIO_DZ ŽU"/>
      <sheetName val="POSEBNI_DIO_ZZJZ VSŽ"/>
      <sheetName val="Rekapitulacija Posebni dio"/>
    </sheetNames>
    <sheetDataSet>
      <sheetData sheetId="0">
        <row r="157">
          <cell r="C157">
            <v>0</v>
          </cell>
        </row>
      </sheetData>
      <sheetData sheetId="1">
        <row r="157">
          <cell r="C157">
            <v>0</v>
          </cell>
        </row>
      </sheetData>
      <sheetData sheetId="2">
        <row r="157">
          <cell r="C157">
            <v>0</v>
          </cell>
        </row>
      </sheetData>
      <sheetData sheetId="3">
        <row r="157">
          <cell r="C157">
            <v>0</v>
          </cell>
        </row>
      </sheetData>
      <sheetData sheetId="4">
        <row r="157">
          <cell r="C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workbookViewId="0" topLeftCell="A7">
      <selection activeCell="B1" sqref="B1:L1"/>
    </sheetView>
  </sheetViews>
  <sheetFormatPr defaultColWidth="9.140625" defaultRowHeight="15"/>
  <cols>
    <col min="6" max="10" width="25.28125" style="0" customWidth="1"/>
    <col min="11" max="12" width="15.7109375" style="0" customWidth="1"/>
  </cols>
  <sheetData>
    <row r="1" spans="2:12" ht="42" customHeight="1">
      <c r="B1" s="686" t="s">
        <v>0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</row>
    <row r="2" spans="2:11" ht="18" customHeight="1">
      <c r="B2" s="664"/>
      <c r="C2" s="664"/>
      <c r="D2" s="664"/>
      <c r="E2" s="664"/>
      <c r="F2" s="664"/>
      <c r="G2" s="664"/>
      <c r="H2" s="664"/>
      <c r="I2" s="664"/>
      <c r="J2" s="664"/>
      <c r="K2" s="664"/>
    </row>
    <row r="3" spans="2:12" ht="15.75" customHeight="1">
      <c r="B3" s="686" t="s">
        <v>1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2:11" ht="36" customHeight="1">
      <c r="B4" s="687"/>
      <c r="C4" s="687"/>
      <c r="D4" s="687"/>
      <c r="E4" s="664"/>
      <c r="F4" s="664"/>
      <c r="G4" s="664"/>
      <c r="H4" s="664"/>
      <c r="I4" s="664"/>
      <c r="J4" s="680"/>
      <c r="K4" s="680"/>
    </row>
    <row r="5" spans="2:12" ht="18" customHeight="1">
      <c r="B5" s="686" t="s">
        <v>2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</row>
    <row r="6" spans="2:11" ht="18" customHeight="1">
      <c r="B6" s="663"/>
      <c r="C6" s="665"/>
      <c r="D6" s="665"/>
      <c r="E6" s="665"/>
      <c r="F6" s="665"/>
      <c r="G6" s="665"/>
      <c r="H6" s="665"/>
      <c r="I6" s="665"/>
      <c r="J6" s="665"/>
      <c r="K6" s="665"/>
    </row>
    <row r="7" spans="2:11" ht="15">
      <c r="B7" s="688" t="s">
        <v>3</v>
      </c>
      <c r="C7" s="688"/>
      <c r="D7" s="688"/>
      <c r="E7" s="688"/>
      <c r="F7" s="688"/>
      <c r="G7" s="666"/>
      <c r="H7" s="666"/>
      <c r="I7" s="666"/>
      <c r="J7" s="666"/>
      <c r="K7" s="681"/>
    </row>
    <row r="8" spans="2:12" ht="25.5">
      <c r="B8" s="689" t="s">
        <v>4</v>
      </c>
      <c r="C8" s="690"/>
      <c r="D8" s="690"/>
      <c r="E8" s="690"/>
      <c r="F8" s="691"/>
      <c r="G8" s="684" t="s">
        <v>5</v>
      </c>
      <c r="H8" s="667" t="s">
        <v>6</v>
      </c>
      <c r="I8" s="667" t="s">
        <v>7</v>
      </c>
      <c r="J8" s="684" t="s">
        <v>8</v>
      </c>
      <c r="K8" s="667" t="s">
        <v>9</v>
      </c>
      <c r="L8" s="667" t="s">
        <v>10</v>
      </c>
    </row>
    <row r="9" spans="2:12" s="661" customFormat="1" ht="11.25">
      <c r="B9" s="692">
        <v>1</v>
      </c>
      <c r="C9" s="692"/>
      <c r="D9" s="692"/>
      <c r="E9" s="692"/>
      <c r="F9" s="693"/>
      <c r="G9" s="668">
        <v>2</v>
      </c>
      <c r="H9" s="669">
        <v>3</v>
      </c>
      <c r="I9" s="669">
        <v>4</v>
      </c>
      <c r="J9" s="669">
        <v>5</v>
      </c>
      <c r="K9" s="669" t="s">
        <v>11</v>
      </c>
      <c r="L9" s="669" t="s">
        <v>12</v>
      </c>
    </row>
    <row r="10" spans="2:12" ht="15">
      <c r="B10" s="694" t="s">
        <v>13</v>
      </c>
      <c r="C10" s="695"/>
      <c r="D10" s="695"/>
      <c r="E10" s="695"/>
      <c r="F10" s="696"/>
      <c r="G10" s="671">
        <f>G11+G12</f>
        <v>8994164.53</v>
      </c>
      <c r="H10" s="671">
        <f>H11+H12</f>
        <v>8179592.81</v>
      </c>
      <c r="I10" s="671">
        <f>I11+I12</f>
        <v>9447273.44</v>
      </c>
      <c r="J10" s="671">
        <f>J11+J12</f>
        <v>9495820.83</v>
      </c>
      <c r="K10" s="671">
        <f>J10/G10*100</f>
        <v>105.57757530815373</v>
      </c>
      <c r="L10" s="671">
        <f aca="true" t="shared" si="0" ref="L10:L16">J10/I10*100</f>
        <v>100.5138772610778</v>
      </c>
    </row>
    <row r="11" spans="2:12" ht="15">
      <c r="B11" s="697" t="s">
        <v>14</v>
      </c>
      <c r="C11" s="698"/>
      <c r="D11" s="698"/>
      <c r="E11" s="698"/>
      <c r="F11" s="699"/>
      <c r="G11" s="672">
        <v>8994164.53</v>
      </c>
      <c r="H11" s="672">
        <v>8179592.81</v>
      </c>
      <c r="I11" s="672">
        <v>9446273.44</v>
      </c>
      <c r="J11" s="672">
        <v>9491928.63</v>
      </c>
      <c r="K11" s="672">
        <f>J11/G11*100</f>
        <v>105.53430058278022</v>
      </c>
      <c r="L11" s="672">
        <f t="shared" si="0"/>
        <v>100.4833142962671</v>
      </c>
    </row>
    <row r="12" spans="2:12" ht="15">
      <c r="B12" s="700" t="s">
        <v>15</v>
      </c>
      <c r="C12" s="699"/>
      <c r="D12" s="699"/>
      <c r="E12" s="699"/>
      <c r="F12" s="699"/>
      <c r="G12" s="672"/>
      <c r="H12" s="672"/>
      <c r="I12" s="672">
        <v>1000</v>
      </c>
      <c r="J12" s="672">
        <v>3892.2</v>
      </c>
      <c r="K12" s="672"/>
      <c r="L12" s="672">
        <f t="shared" si="0"/>
        <v>389.21999999999997</v>
      </c>
    </row>
    <row r="13" spans="2:12" ht="15">
      <c r="B13" s="673" t="s">
        <v>16</v>
      </c>
      <c r="C13" s="670"/>
      <c r="D13" s="670"/>
      <c r="E13" s="670"/>
      <c r="F13" s="670"/>
      <c r="G13" s="671">
        <f>G14+G15</f>
        <v>9418195</v>
      </c>
      <c r="H13" s="671">
        <f>H14+H15</f>
        <v>9115801</v>
      </c>
      <c r="I13" s="671">
        <f>I14+I15</f>
        <v>9982818</v>
      </c>
      <c r="J13" s="671">
        <f>J14+J15</f>
        <v>10014093.5</v>
      </c>
      <c r="K13" s="671">
        <f>J13/G13*100</f>
        <v>106.32709876998724</v>
      </c>
      <c r="L13" s="671">
        <f t="shared" si="0"/>
        <v>100.313293300549</v>
      </c>
    </row>
    <row r="14" spans="2:12" ht="15">
      <c r="B14" s="701" t="s">
        <v>17</v>
      </c>
      <c r="C14" s="698"/>
      <c r="D14" s="698"/>
      <c r="E14" s="698"/>
      <c r="F14" s="698"/>
      <c r="G14" s="672">
        <v>8982995</v>
      </c>
      <c r="H14" s="672">
        <v>8723207</v>
      </c>
      <c r="I14" s="672">
        <v>9592918</v>
      </c>
      <c r="J14" s="672">
        <v>9626003.09</v>
      </c>
      <c r="K14" s="671">
        <f>J14/G14*100</f>
        <v>107.15805908831075</v>
      </c>
      <c r="L14" s="671">
        <f t="shared" si="0"/>
        <v>100.34489078297135</v>
      </c>
    </row>
    <row r="15" spans="2:12" ht="15">
      <c r="B15" s="702" t="s">
        <v>18</v>
      </c>
      <c r="C15" s="699"/>
      <c r="D15" s="699"/>
      <c r="E15" s="699"/>
      <c r="F15" s="699"/>
      <c r="G15" s="674">
        <v>435200</v>
      </c>
      <c r="H15" s="674">
        <v>392594</v>
      </c>
      <c r="I15" s="674">
        <v>389900</v>
      </c>
      <c r="J15" s="674">
        <v>388090.41</v>
      </c>
      <c r="K15" s="671">
        <f>J15/G15*100</f>
        <v>89.17518612132352</v>
      </c>
      <c r="L15" s="671">
        <f t="shared" si="0"/>
        <v>99.53588355988714</v>
      </c>
    </row>
    <row r="16" spans="2:12" ht="15">
      <c r="B16" s="703" t="s">
        <v>19</v>
      </c>
      <c r="C16" s="695"/>
      <c r="D16" s="695"/>
      <c r="E16" s="695"/>
      <c r="F16" s="695"/>
      <c r="G16" s="671">
        <f>G10-G13</f>
        <v>-424030.47000000067</v>
      </c>
      <c r="H16" s="671">
        <f>H10-H13</f>
        <v>-936208.1900000004</v>
      </c>
      <c r="I16" s="682">
        <f>I10-I13</f>
        <v>-535544.5600000005</v>
      </c>
      <c r="J16" s="682">
        <f>J10-J13</f>
        <v>-518272.6699999999</v>
      </c>
      <c r="K16" s="671">
        <f>J16/G16*100</f>
        <v>122.22533677827423</v>
      </c>
      <c r="L16" s="671">
        <f t="shared" si="0"/>
        <v>96.77489208367636</v>
      </c>
    </row>
    <row r="17" spans="2:12" ht="18">
      <c r="B17" s="664"/>
      <c r="C17" s="675"/>
      <c r="D17" s="675"/>
      <c r="E17" s="675"/>
      <c r="F17" s="675"/>
      <c r="G17" s="675"/>
      <c r="H17" s="675"/>
      <c r="I17" s="683"/>
      <c r="J17" s="683"/>
      <c r="K17" s="683"/>
      <c r="L17" s="683"/>
    </row>
    <row r="18" spans="2:12" ht="18" customHeight="1">
      <c r="B18" s="688" t="s">
        <v>20</v>
      </c>
      <c r="C18" s="688"/>
      <c r="D18" s="688"/>
      <c r="E18" s="688"/>
      <c r="F18" s="688"/>
      <c r="G18" s="675"/>
      <c r="H18" s="675"/>
      <c r="I18" s="683"/>
      <c r="J18" s="683"/>
      <c r="K18" s="683"/>
      <c r="L18" s="683"/>
    </row>
    <row r="19" spans="2:12" ht="25.5">
      <c r="B19" s="689" t="s">
        <v>4</v>
      </c>
      <c r="C19" s="690"/>
      <c r="D19" s="690"/>
      <c r="E19" s="690"/>
      <c r="F19" s="691"/>
      <c r="G19" s="684" t="s">
        <v>5</v>
      </c>
      <c r="H19" s="667" t="s">
        <v>6</v>
      </c>
      <c r="I19" s="667" t="s">
        <v>7</v>
      </c>
      <c r="J19" s="684" t="s">
        <v>8</v>
      </c>
      <c r="K19" s="667" t="s">
        <v>9</v>
      </c>
      <c r="L19" s="667" t="s">
        <v>10</v>
      </c>
    </row>
    <row r="20" spans="2:43" s="661" customFormat="1" ht="15">
      <c r="B20" s="692">
        <v>1</v>
      </c>
      <c r="C20" s="692"/>
      <c r="D20" s="692"/>
      <c r="E20" s="692"/>
      <c r="F20" s="693"/>
      <c r="G20" s="668">
        <v>2</v>
      </c>
      <c r="H20" s="669">
        <v>3</v>
      </c>
      <c r="I20" s="669">
        <v>4</v>
      </c>
      <c r="J20" s="669">
        <v>5</v>
      </c>
      <c r="K20" s="669" t="s">
        <v>11</v>
      </c>
      <c r="L20" s="669" t="s">
        <v>12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12" ht="15.75" customHeight="1">
      <c r="A21" s="661"/>
      <c r="B21" s="697" t="s">
        <v>21</v>
      </c>
      <c r="C21" s="704"/>
      <c r="D21" s="704"/>
      <c r="E21" s="704"/>
      <c r="F21" s="705"/>
      <c r="G21" s="674"/>
      <c r="H21" s="674"/>
      <c r="I21" s="674"/>
      <c r="J21" s="674"/>
      <c r="K21" s="674"/>
      <c r="L21" s="674"/>
    </row>
    <row r="22" spans="1:12" ht="15">
      <c r="A22" s="661"/>
      <c r="B22" s="697" t="s">
        <v>22</v>
      </c>
      <c r="C22" s="698"/>
      <c r="D22" s="698"/>
      <c r="E22" s="698"/>
      <c r="F22" s="698"/>
      <c r="G22" s="674"/>
      <c r="H22" s="674"/>
      <c r="I22" s="674"/>
      <c r="J22" s="674"/>
      <c r="K22" s="674"/>
      <c r="L22" s="674"/>
    </row>
    <row r="23" spans="1:43" s="662" customFormat="1" ht="15" customHeight="1">
      <c r="A23" s="661"/>
      <c r="B23" s="708" t="s">
        <v>23</v>
      </c>
      <c r="C23" s="709"/>
      <c r="D23" s="709"/>
      <c r="E23" s="709"/>
      <c r="F23" s="710"/>
      <c r="G23" s="671"/>
      <c r="H23" s="671"/>
      <c r="I23" s="671"/>
      <c r="J23" s="671"/>
      <c r="K23" s="671"/>
      <c r="L23" s="67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662" customFormat="1" ht="15" customHeight="1">
      <c r="A24" s="661"/>
      <c r="B24" s="708" t="s">
        <v>24</v>
      </c>
      <c r="C24" s="709"/>
      <c r="D24" s="709"/>
      <c r="E24" s="709"/>
      <c r="F24" s="710"/>
      <c r="G24" s="671">
        <v>959575</v>
      </c>
      <c r="H24" s="671">
        <v>936208</v>
      </c>
      <c r="I24" s="671">
        <v>535544</v>
      </c>
      <c r="J24" s="671">
        <v>535544.42</v>
      </c>
      <c r="K24" s="671">
        <f>J24/G24*100</f>
        <v>55.81058489435428</v>
      </c>
      <c r="L24" s="671">
        <f>J24/I24*100</f>
        <v>100.00007842492869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12" ht="15">
      <c r="A25" s="661"/>
      <c r="B25" s="703" t="s">
        <v>25</v>
      </c>
      <c r="C25" s="695"/>
      <c r="D25" s="695"/>
      <c r="E25" s="695"/>
      <c r="F25" s="695"/>
      <c r="G25" s="671">
        <v>535545</v>
      </c>
      <c r="H25" s="671">
        <v>0</v>
      </c>
      <c r="I25" s="671">
        <v>0</v>
      </c>
      <c r="J25" s="671">
        <v>17271.75</v>
      </c>
      <c r="K25" s="671">
        <f>J25/G25*100</f>
        <v>3.2250791250035014</v>
      </c>
      <c r="L25" s="671"/>
    </row>
    <row r="26" spans="2:11" ht="15.75">
      <c r="B26" s="676"/>
      <c r="C26" s="677"/>
      <c r="D26" s="677"/>
      <c r="E26" s="677"/>
      <c r="F26" s="677"/>
      <c r="G26" s="678"/>
      <c r="H26" s="678"/>
      <c r="I26" s="678"/>
      <c r="J26" s="678"/>
      <c r="K26" s="678"/>
    </row>
    <row r="27" spans="2:12" ht="15.75">
      <c r="B27" s="711" t="s">
        <v>26</v>
      </c>
      <c r="C27" s="712"/>
      <c r="D27" s="712"/>
      <c r="E27" s="712"/>
      <c r="F27" s="712"/>
      <c r="G27" s="712"/>
      <c r="H27" s="712"/>
      <c r="I27" s="712"/>
      <c r="J27" s="712"/>
      <c r="K27" s="712"/>
      <c r="L27" s="712"/>
    </row>
    <row r="28" spans="2:11" ht="15.75">
      <c r="B28" s="676"/>
      <c r="C28" s="677"/>
      <c r="D28" s="677"/>
      <c r="E28" s="677"/>
      <c r="F28" s="677"/>
      <c r="G28" s="678"/>
      <c r="H28" s="678"/>
      <c r="I28" s="678"/>
      <c r="J28" s="678"/>
      <c r="K28" s="678"/>
    </row>
    <row r="29" spans="2:12" ht="15" customHeight="1">
      <c r="B29" s="707" t="s">
        <v>27</v>
      </c>
      <c r="C29" s="707"/>
      <c r="D29" s="707"/>
      <c r="E29" s="707"/>
      <c r="F29" s="707"/>
      <c r="G29" s="707"/>
      <c r="H29" s="707"/>
      <c r="I29" s="707"/>
      <c r="J29" s="707"/>
      <c r="K29" s="707"/>
      <c r="L29" s="707"/>
    </row>
    <row r="30" spans="2:11" ht="15">
      <c r="B30" s="679"/>
      <c r="C30" s="679"/>
      <c r="D30" s="679"/>
      <c r="E30" s="679"/>
      <c r="F30" s="679"/>
      <c r="G30" s="679"/>
      <c r="H30" s="679"/>
      <c r="I30" s="679"/>
      <c r="J30" s="679"/>
      <c r="K30" s="679"/>
    </row>
    <row r="31" spans="2:12" ht="15" customHeight="1">
      <c r="B31" s="707" t="s">
        <v>28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</row>
    <row r="32" spans="2:12" ht="36.75" customHeight="1"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</row>
    <row r="33" spans="2:11" ht="15">
      <c r="B33" s="713"/>
      <c r="C33" s="713"/>
      <c r="D33" s="713"/>
      <c r="E33" s="713"/>
      <c r="F33" s="713"/>
      <c r="G33" s="713"/>
      <c r="H33" s="713"/>
      <c r="I33" s="713"/>
      <c r="J33" s="713"/>
      <c r="K33" s="713"/>
    </row>
    <row r="34" spans="2:12" ht="15" customHeight="1">
      <c r="B34" s="706" t="s">
        <v>29</v>
      </c>
      <c r="C34" s="706"/>
      <c r="D34" s="706"/>
      <c r="E34" s="706"/>
      <c r="F34" s="706"/>
      <c r="G34" s="706"/>
      <c r="H34" s="706"/>
      <c r="I34" s="706"/>
      <c r="J34" s="706"/>
      <c r="K34" s="706"/>
      <c r="L34" s="706"/>
    </row>
    <row r="35" spans="2:12" ht="15"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6"/>
    </row>
  </sheetData>
  <sheetProtection/>
  <mergeCells count="27">
    <mergeCell ref="B34:L35"/>
    <mergeCell ref="B31:L32"/>
    <mergeCell ref="B23:F23"/>
    <mergeCell ref="B24:F24"/>
    <mergeCell ref="B25:F25"/>
    <mergeCell ref="B27:L27"/>
    <mergeCell ref="B29:L29"/>
    <mergeCell ref="B33:F33"/>
    <mergeCell ref="G33:K33"/>
    <mergeCell ref="B16:F16"/>
    <mergeCell ref="B18:F18"/>
    <mergeCell ref="B19:F19"/>
    <mergeCell ref="B20:F20"/>
    <mergeCell ref="B21:F21"/>
    <mergeCell ref="B22:F22"/>
    <mergeCell ref="B9:F9"/>
    <mergeCell ref="B10:F10"/>
    <mergeCell ref="B11:F11"/>
    <mergeCell ref="B12:F12"/>
    <mergeCell ref="B14:F14"/>
    <mergeCell ref="B15:F15"/>
    <mergeCell ref="B1:L1"/>
    <mergeCell ref="B3:L3"/>
    <mergeCell ref="B4:D4"/>
    <mergeCell ref="B5:L5"/>
    <mergeCell ref="B7:F7"/>
    <mergeCell ref="B8:F8"/>
  </mergeCells>
  <printOptions/>
  <pageMargins left="0.7" right="0.7" top="0.75" bottom="0.75" header="0.3" footer="0.3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7"/>
  <sheetViews>
    <sheetView zoomScaleSheetLayoutView="100" workbookViewId="0" topLeftCell="A1">
      <selection activeCell="M9" sqref="M9"/>
    </sheetView>
  </sheetViews>
  <sheetFormatPr defaultColWidth="9.140625" defaultRowHeight="15"/>
  <cols>
    <col min="1" max="1" width="7.00390625" style="234" bestFit="1" customWidth="1"/>
    <col min="2" max="2" width="8.28125" style="234" customWidth="1"/>
    <col min="3" max="3" width="5.28125" style="234" bestFit="1" customWidth="1"/>
    <col min="4" max="4" width="55.00390625" style="234" customWidth="1"/>
    <col min="5" max="5" width="21.140625" style="234" customWidth="1"/>
    <col min="6" max="6" width="18.140625" style="249" customWidth="1"/>
    <col min="7" max="7" width="18.140625" style="234" customWidth="1"/>
    <col min="8" max="8" width="19.140625" style="234" customWidth="1"/>
    <col min="9" max="9" width="9.421875" style="234" customWidth="1"/>
    <col min="10" max="10" width="8.8515625" style="234" customWidth="1"/>
    <col min="11" max="15" width="15.140625" style="234" customWidth="1"/>
    <col min="16" max="16" width="16.7109375" style="234" hidden="1" customWidth="1"/>
    <col min="17" max="17" width="16.421875" style="234" hidden="1" customWidth="1"/>
    <col min="18" max="18" width="12.57421875" style="234" hidden="1" customWidth="1"/>
    <col min="19" max="20" width="10.7109375" style="234" bestFit="1" customWidth="1"/>
    <col min="21" max="21" width="10.28125" style="234" bestFit="1" customWidth="1"/>
    <col min="22" max="22" width="11.8515625" style="234" bestFit="1" customWidth="1"/>
    <col min="23" max="23" width="15.421875" style="234" customWidth="1"/>
    <col min="24" max="24" width="9.140625" style="234" customWidth="1"/>
    <col min="25" max="16384" width="9.140625" style="234" customWidth="1"/>
  </cols>
  <sheetData>
    <row r="1" spans="1:11" ht="31.5" customHeight="1">
      <c r="A1" s="720" t="s">
        <v>1</v>
      </c>
      <c r="B1" s="720"/>
      <c r="C1" s="720"/>
      <c r="D1" s="720"/>
      <c r="E1" s="720"/>
      <c r="F1" s="720"/>
      <c r="G1" s="720"/>
      <c r="H1" s="720"/>
      <c r="I1" s="720"/>
      <c r="J1" s="720"/>
      <c r="K1" s="294"/>
    </row>
    <row r="2" spans="1:11" ht="31.5" customHeight="1">
      <c r="A2" s="721" t="s">
        <v>30</v>
      </c>
      <c r="B2" s="721"/>
      <c r="C2" s="721"/>
      <c r="D2" s="721"/>
      <c r="E2" s="721"/>
      <c r="F2" s="721"/>
      <c r="G2" s="721"/>
      <c r="H2" s="721"/>
      <c r="I2" s="721"/>
      <c r="J2" s="721"/>
      <c r="K2" s="294"/>
    </row>
    <row r="3" spans="1:11" ht="31.5" customHeight="1">
      <c r="A3" s="721" t="s">
        <v>31</v>
      </c>
      <c r="B3" s="721"/>
      <c r="C3" s="721"/>
      <c r="D3" s="721"/>
      <c r="E3" s="721"/>
      <c r="F3" s="721"/>
      <c r="G3" s="721"/>
      <c r="H3" s="721"/>
      <c r="I3" s="721"/>
      <c r="J3" s="721"/>
      <c r="K3" s="294"/>
    </row>
    <row r="4" spans="1:11" ht="18.75" customHeight="1">
      <c r="A4" s="552"/>
      <c r="B4" s="552"/>
      <c r="C4" s="552"/>
      <c r="D4" s="128"/>
      <c r="E4" s="128"/>
      <c r="F4" s="553"/>
      <c r="G4" s="128"/>
      <c r="H4" s="128"/>
      <c r="I4" s="552"/>
      <c r="J4" s="552"/>
      <c r="K4" s="294"/>
    </row>
    <row r="5" spans="1:10" ht="15.75" customHeight="1">
      <c r="A5" s="722" t="s">
        <v>32</v>
      </c>
      <c r="B5" s="723"/>
      <c r="C5" s="723"/>
      <c r="D5" s="723"/>
      <c r="E5" s="723"/>
      <c r="F5" s="723"/>
      <c r="G5" s="723"/>
      <c r="H5" s="723"/>
      <c r="I5" s="723"/>
      <c r="J5" s="723"/>
    </row>
    <row r="6" spans="1:18" s="235" customFormat="1" ht="60">
      <c r="A6" s="201" t="s">
        <v>33</v>
      </c>
      <c r="B6" s="201" t="s">
        <v>34</v>
      </c>
      <c r="C6" s="252" t="s">
        <v>35</v>
      </c>
      <c r="D6" s="253" t="s">
        <v>36</v>
      </c>
      <c r="E6" s="254" t="s">
        <v>37</v>
      </c>
      <c r="F6" s="254" t="s">
        <v>38</v>
      </c>
      <c r="G6" s="134" t="s">
        <v>39</v>
      </c>
      <c r="H6" s="256" t="s">
        <v>40</v>
      </c>
      <c r="I6" s="600" t="s">
        <v>41</v>
      </c>
      <c r="J6" s="600" t="s">
        <v>41</v>
      </c>
      <c r="K6" s="234"/>
      <c r="L6" s="234"/>
      <c r="M6" s="234"/>
      <c r="N6" s="234"/>
      <c r="O6" s="234"/>
      <c r="P6" s="234"/>
      <c r="Q6" s="234"/>
      <c r="R6" s="234"/>
    </row>
    <row r="7" spans="1:18" s="235" customFormat="1" ht="15">
      <c r="A7" s="716">
        <v>1</v>
      </c>
      <c r="B7" s="716"/>
      <c r="C7" s="716"/>
      <c r="D7" s="716"/>
      <c r="E7" s="554">
        <v>2</v>
      </c>
      <c r="F7" s="554">
        <v>2</v>
      </c>
      <c r="G7" s="259">
        <v>3</v>
      </c>
      <c r="H7" s="259">
        <v>4</v>
      </c>
      <c r="I7" s="297" t="s">
        <v>42</v>
      </c>
      <c r="J7" s="298" t="s">
        <v>43</v>
      </c>
      <c r="K7" s="234"/>
      <c r="L7" s="234"/>
      <c r="M7" s="234"/>
      <c r="N7" s="234"/>
      <c r="O7" s="234"/>
      <c r="P7" s="234"/>
      <c r="Q7" s="234"/>
      <c r="R7" s="234"/>
    </row>
    <row r="8" spans="1:18" s="236" customFormat="1" ht="15">
      <c r="A8" s="555">
        <v>6</v>
      </c>
      <c r="B8" s="556">
        <v>6</v>
      </c>
      <c r="C8" s="555"/>
      <c r="D8" s="557" t="s">
        <v>44</v>
      </c>
      <c r="E8" s="558">
        <f>E76</f>
        <v>8994164.53</v>
      </c>
      <c r="F8" s="558">
        <f>F76</f>
        <v>8179592.8100000005</v>
      </c>
      <c r="G8" s="558">
        <f>G22+G35+G51+G56+G60+G75</f>
        <v>9446273.44</v>
      </c>
      <c r="H8" s="558">
        <f>H22+H35+H51+H56+H60+H75</f>
        <v>9491928.629999999</v>
      </c>
      <c r="I8" s="601">
        <f>SUM(H8/E8*100)</f>
        <v>105.53430058278019</v>
      </c>
      <c r="J8" s="601">
        <f>SUM(H8/G8*100)</f>
        <v>100.48331429626707</v>
      </c>
      <c r="K8" s="246"/>
      <c r="L8" s="246"/>
      <c r="M8" s="246"/>
      <c r="N8" s="246"/>
      <c r="O8" s="246"/>
      <c r="P8" s="246"/>
      <c r="Q8" s="246"/>
      <c r="R8" s="246"/>
    </row>
    <row r="9" spans="1:18" s="235" customFormat="1" ht="30">
      <c r="A9" s="280"/>
      <c r="B9" s="265">
        <v>63</v>
      </c>
      <c r="C9" s="559"/>
      <c r="D9" s="560" t="s">
        <v>45</v>
      </c>
      <c r="E9" s="268">
        <f>SUM(E10,E13,E15,E17,E20)</f>
        <v>224786.42</v>
      </c>
      <c r="F9" s="268">
        <f>SUM(F10,F13,F15,F17,F20)</f>
        <v>20704.76</v>
      </c>
      <c r="G9" s="268">
        <f>SUM(G13,G15,G17)</f>
        <v>200000</v>
      </c>
      <c r="H9" s="268">
        <f>SUM(H10,H13,H15,H17)</f>
        <v>211897.14</v>
      </c>
      <c r="I9" s="602">
        <f>SUM(H9/E9*100)</f>
        <v>94.26598813220123</v>
      </c>
      <c r="J9" s="602">
        <f>SUM(H9/G9*100)</f>
        <v>105.94857</v>
      </c>
      <c r="K9" s="234"/>
      <c r="L9" s="234"/>
      <c r="M9" s="234"/>
      <c r="N9" s="234"/>
      <c r="O9" s="234"/>
      <c r="P9" s="234"/>
      <c r="Q9" s="234"/>
      <c r="R9" s="234"/>
    </row>
    <row r="10" spans="1:18" s="235" customFormat="1" ht="15">
      <c r="A10" s="280"/>
      <c r="B10" s="310" t="s">
        <v>46</v>
      </c>
      <c r="C10" s="561"/>
      <c r="D10" s="562" t="s">
        <v>47</v>
      </c>
      <c r="E10" s="313">
        <f>E11+E12</f>
        <v>0</v>
      </c>
      <c r="F10" s="313">
        <f>F11</f>
        <v>0</v>
      </c>
      <c r="G10" s="313">
        <f>G11</f>
        <v>0</v>
      </c>
      <c r="H10" s="313">
        <f>H11</f>
        <v>0</v>
      </c>
      <c r="I10" s="603"/>
      <c r="J10" s="603"/>
      <c r="K10" s="234"/>
      <c r="L10" s="234"/>
      <c r="M10" s="234"/>
      <c r="N10" s="234"/>
      <c r="O10" s="234"/>
      <c r="P10" s="234"/>
      <c r="Q10" s="234"/>
      <c r="R10" s="234"/>
    </row>
    <row r="11" spans="1:18" s="235" customFormat="1" ht="15">
      <c r="A11" s="278"/>
      <c r="B11" s="314" t="s">
        <v>48</v>
      </c>
      <c r="C11" s="563"/>
      <c r="D11" s="564" t="s">
        <v>49</v>
      </c>
      <c r="E11" s="317"/>
      <c r="F11" s="317"/>
      <c r="G11" s="317"/>
      <c r="H11" s="317"/>
      <c r="I11" s="604"/>
      <c r="J11" s="604"/>
      <c r="K11" s="234"/>
      <c r="L11" s="234"/>
      <c r="M11" s="234"/>
      <c r="N11" s="234"/>
      <c r="O11" s="234"/>
      <c r="P11" s="234"/>
      <c r="Q11" s="234"/>
      <c r="R11" s="234"/>
    </row>
    <row r="12" spans="1:18" s="235" customFormat="1" ht="15">
      <c r="A12" s="278"/>
      <c r="B12" s="314" t="s">
        <v>50</v>
      </c>
      <c r="C12" s="563"/>
      <c r="D12" s="564" t="s">
        <v>51</v>
      </c>
      <c r="E12" s="317"/>
      <c r="F12" s="317"/>
      <c r="G12" s="317"/>
      <c r="H12" s="317"/>
      <c r="I12" s="604"/>
      <c r="J12" s="604"/>
      <c r="K12" s="234"/>
      <c r="L12" s="234"/>
      <c r="M12" s="234"/>
      <c r="N12" s="234"/>
      <c r="O12" s="234"/>
      <c r="P12" s="234"/>
      <c r="Q12" s="234"/>
      <c r="R12" s="234"/>
    </row>
    <row r="13" spans="1:18" s="236" customFormat="1" ht="15">
      <c r="A13" s="280"/>
      <c r="B13" s="273" t="s">
        <v>52</v>
      </c>
      <c r="C13" s="323"/>
      <c r="D13" s="281" t="s">
        <v>53</v>
      </c>
      <c r="E13" s="379">
        <f>SUM(E14)</f>
        <v>117197.24</v>
      </c>
      <c r="F13" s="379">
        <f>SUM(F14)</f>
        <v>19908.42</v>
      </c>
      <c r="G13" s="379">
        <f>SUM(G14)</f>
        <v>125000</v>
      </c>
      <c r="H13" s="379">
        <f>SUM(H14)</f>
        <v>37755.49</v>
      </c>
      <c r="I13" s="605"/>
      <c r="J13" s="605"/>
      <c r="K13" s="246"/>
      <c r="L13" s="246"/>
      <c r="M13" s="246"/>
      <c r="N13" s="246"/>
      <c r="O13" s="246"/>
      <c r="P13" s="246"/>
      <c r="Q13" s="246"/>
      <c r="R13" s="246"/>
    </row>
    <row r="14" spans="1:18" s="235" customFormat="1" ht="15">
      <c r="A14" s="278"/>
      <c r="B14" s="274" t="s">
        <v>54</v>
      </c>
      <c r="C14" s="278"/>
      <c r="D14" s="282" t="s">
        <v>55</v>
      </c>
      <c r="E14" s="381">
        <v>117197.24</v>
      </c>
      <c r="F14" s="381">
        <v>19908.42</v>
      </c>
      <c r="G14" s="381">
        <v>125000</v>
      </c>
      <c r="H14" s="317">
        <v>37755.49</v>
      </c>
      <c r="J14" s="605"/>
      <c r="K14" s="234"/>
      <c r="L14" s="234"/>
      <c r="M14" s="246"/>
      <c r="N14" s="234"/>
      <c r="O14" s="234"/>
      <c r="P14" s="234"/>
      <c r="Q14" s="234"/>
      <c r="R14" s="234"/>
    </row>
    <row r="15" spans="1:18" s="235" customFormat="1" ht="30">
      <c r="A15" s="278"/>
      <c r="B15" s="273" t="s">
        <v>56</v>
      </c>
      <c r="C15" s="280"/>
      <c r="D15" s="281" t="s">
        <v>57</v>
      </c>
      <c r="E15" s="379">
        <f>SUM(E16)</f>
        <v>68234.89</v>
      </c>
      <c r="F15" s="379">
        <f>SUM(F16)</f>
        <v>796.34</v>
      </c>
      <c r="G15" s="379">
        <f>SUM(G16)</f>
        <v>0</v>
      </c>
      <c r="H15" s="379">
        <f>SUM(H16)</f>
        <v>101327.67</v>
      </c>
      <c r="I15" s="605"/>
      <c r="J15" s="605"/>
      <c r="K15" s="234"/>
      <c r="L15" s="234"/>
      <c r="M15" s="246"/>
      <c r="N15" s="234"/>
      <c r="O15" s="234"/>
      <c r="P15" s="234"/>
      <c r="Q15" s="234"/>
      <c r="R15" s="234"/>
    </row>
    <row r="16" spans="1:18" s="235" customFormat="1" ht="30">
      <c r="A16" s="278"/>
      <c r="B16" s="274" t="s">
        <v>58</v>
      </c>
      <c r="C16" s="278"/>
      <c r="D16" s="282" t="s">
        <v>59</v>
      </c>
      <c r="E16" s="381">
        <v>68234.89</v>
      </c>
      <c r="F16" s="381">
        <v>796.34</v>
      </c>
      <c r="G16" s="381">
        <v>0</v>
      </c>
      <c r="H16" s="317">
        <v>101327.67</v>
      </c>
      <c r="I16" s="605"/>
      <c r="J16" s="605"/>
      <c r="K16" s="234"/>
      <c r="L16" s="234"/>
      <c r="M16" s="246"/>
      <c r="N16" s="234"/>
      <c r="O16" s="234"/>
      <c r="P16" s="234"/>
      <c r="Q16" s="234"/>
      <c r="R16" s="234"/>
    </row>
    <row r="17" spans="1:18" s="235" customFormat="1" ht="15">
      <c r="A17" s="278"/>
      <c r="B17" s="273" t="s">
        <v>60</v>
      </c>
      <c r="C17" s="280"/>
      <c r="D17" s="281" t="s">
        <v>61</v>
      </c>
      <c r="E17" s="379">
        <f>SUM(E18:E19)</f>
        <v>39354.29</v>
      </c>
      <c r="F17" s="379">
        <f>SUM(F18:F19)</f>
        <v>0</v>
      </c>
      <c r="G17" s="379">
        <f>SUM(G18:G19)</f>
        <v>75000</v>
      </c>
      <c r="H17" s="379">
        <f>SUM(H18:H19)</f>
        <v>72813.98</v>
      </c>
      <c r="I17" s="605"/>
      <c r="J17" s="605"/>
      <c r="K17" s="234"/>
      <c r="L17" s="234"/>
      <c r="M17" s="246"/>
      <c r="N17" s="234"/>
      <c r="O17" s="234"/>
      <c r="P17" s="234"/>
      <c r="Q17" s="234"/>
      <c r="R17" s="234"/>
    </row>
    <row r="18" spans="1:18" s="235" customFormat="1" ht="15">
      <c r="A18" s="278"/>
      <c r="B18" s="274" t="s">
        <v>62</v>
      </c>
      <c r="C18" s="278"/>
      <c r="D18" s="282" t="s">
        <v>63</v>
      </c>
      <c r="E18" s="381">
        <v>37127.49</v>
      </c>
      <c r="F18" s="381"/>
      <c r="G18" s="381">
        <v>75000</v>
      </c>
      <c r="H18" s="317">
        <v>72813.98</v>
      </c>
      <c r="I18" s="605"/>
      <c r="J18" s="606"/>
      <c r="K18" s="234"/>
      <c r="L18" s="234"/>
      <c r="M18" s="234"/>
      <c r="N18" s="234"/>
      <c r="O18" s="234"/>
      <c r="P18" s="234"/>
      <c r="Q18" s="234"/>
      <c r="R18" s="234"/>
    </row>
    <row r="19" spans="1:18" s="235" customFormat="1" ht="15">
      <c r="A19" s="278"/>
      <c r="B19" s="274" t="s">
        <v>64</v>
      </c>
      <c r="C19" s="278"/>
      <c r="D19" s="282" t="s">
        <v>65</v>
      </c>
      <c r="E19" s="381">
        <v>2226.8</v>
      </c>
      <c r="F19" s="381"/>
      <c r="G19" s="381"/>
      <c r="H19" s="317"/>
      <c r="I19" s="605"/>
      <c r="J19" s="605"/>
      <c r="K19" s="234"/>
      <c r="L19" s="234"/>
      <c r="M19" s="246"/>
      <c r="N19" s="234"/>
      <c r="O19" s="234"/>
      <c r="P19" s="234"/>
      <c r="Q19" s="234"/>
      <c r="R19" s="234"/>
    </row>
    <row r="20" spans="1:18" s="236" customFormat="1" ht="15">
      <c r="A20" s="280"/>
      <c r="B20" s="273" t="s">
        <v>66</v>
      </c>
      <c r="C20" s="280"/>
      <c r="D20" s="281" t="s">
        <v>67</v>
      </c>
      <c r="E20" s="379">
        <f>E21</f>
        <v>0</v>
      </c>
      <c r="F20" s="379">
        <f>F21</f>
        <v>0</v>
      </c>
      <c r="G20" s="379">
        <f>G21</f>
        <v>0</v>
      </c>
      <c r="H20" s="379">
        <f>H21</f>
        <v>0</v>
      </c>
      <c r="I20" s="605"/>
      <c r="J20" s="605"/>
      <c r="K20" s="246"/>
      <c r="L20" s="246"/>
      <c r="M20" s="246"/>
      <c r="N20" s="246"/>
      <c r="O20" s="246"/>
      <c r="P20" s="246"/>
      <c r="Q20" s="246"/>
      <c r="R20" s="246"/>
    </row>
    <row r="21" spans="1:18" s="235" customFormat="1" ht="30">
      <c r="A21" s="278"/>
      <c r="B21" s="274" t="s">
        <v>68</v>
      </c>
      <c r="C21" s="278"/>
      <c r="D21" s="282" t="s">
        <v>69</v>
      </c>
      <c r="E21" s="381"/>
      <c r="F21" s="381"/>
      <c r="G21" s="381"/>
      <c r="H21" s="317"/>
      <c r="I21" s="605"/>
      <c r="J21" s="605"/>
      <c r="K21" s="234"/>
      <c r="L21" s="234"/>
      <c r="M21" s="246"/>
      <c r="N21" s="234"/>
      <c r="O21" s="234"/>
      <c r="P21" s="234"/>
      <c r="Q21" s="234"/>
      <c r="R21" s="234"/>
    </row>
    <row r="22" spans="1:18" s="547" customFormat="1" ht="15">
      <c r="A22" s="565"/>
      <c r="B22" s="566"/>
      <c r="C22" s="330">
        <v>52</v>
      </c>
      <c r="D22" s="331" t="s">
        <v>70</v>
      </c>
      <c r="E22" s="384">
        <f>SUM(E9)</f>
        <v>224786.42</v>
      </c>
      <c r="F22" s="384">
        <f>SUM(F9)</f>
        <v>20704.76</v>
      </c>
      <c r="G22" s="384">
        <f>SUM(G9)</f>
        <v>200000</v>
      </c>
      <c r="H22" s="384">
        <f>SUM(H9)</f>
        <v>211897.14</v>
      </c>
      <c r="I22" s="607">
        <f>SUM(H22/E22*100)</f>
        <v>94.26598813220123</v>
      </c>
      <c r="J22" s="607">
        <f>SUM(H22/G22*100)</f>
        <v>105.94857</v>
      </c>
      <c r="K22" s="608"/>
      <c r="L22" s="442"/>
      <c r="M22" s="608"/>
      <c r="N22" s="608"/>
      <c r="O22" s="608"/>
      <c r="P22" s="608"/>
      <c r="Q22" s="608"/>
      <c r="R22" s="608"/>
    </row>
    <row r="23" spans="1:18" s="547" customFormat="1" ht="15">
      <c r="A23" s="565"/>
      <c r="B23" s="567">
        <v>64</v>
      </c>
      <c r="C23" s="568"/>
      <c r="D23" s="569" t="s">
        <v>71</v>
      </c>
      <c r="E23" s="570">
        <f>SUM(E24)</f>
        <v>0</v>
      </c>
      <c r="F23" s="570">
        <f>SUM(F24)</f>
        <v>0</v>
      </c>
      <c r="G23" s="570">
        <f>SUM(G24)</f>
        <v>0</v>
      </c>
      <c r="H23" s="570">
        <f>SUM(H24)</f>
        <v>0</v>
      </c>
      <c r="I23" s="602"/>
      <c r="J23" s="602"/>
      <c r="K23" s="608"/>
      <c r="L23" s="442"/>
      <c r="M23" s="608"/>
      <c r="N23" s="608"/>
      <c r="O23" s="608"/>
      <c r="P23" s="608"/>
      <c r="Q23" s="608"/>
      <c r="R23" s="608"/>
    </row>
    <row r="24" spans="1:18" s="547" customFormat="1" ht="15">
      <c r="A24" s="565"/>
      <c r="B24" s="571">
        <v>641</v>
      </c>
      <c r="C24" s="572"/>
      <c r="D24" s="573" t="s">
        <v>72</v>
      </c>
      <c r="E24" s="390">
        <f>SUM(E25:E25)</f>
        <v>0</v>
      </c>
      <c r="F24" s="390">
        <f>SUM(F25:F25)</f>
        <v>0</v>
      </c>
      <c r="G24" s="390">
        <f>SUM(G25:G25)</f>
        <v>0</v>
      </c>
      <c r="H24" s="390">
        <f>SUM(H25:H25)</f>
        <v>0</v>
      </c>
      <c r="I24" s="609"/>
      <c r="J24" s="609"/>
      <c r="K24" s="608"/>
      <c r="L24" s="442"/>
      <c r="M24" s="608"/>
      <c r="N24" s="608"/>
      <c r="O24" s="608"/>
      <c r="P24" s="608"/>
      <c r="Q24" s="608"/>
      <c r="R24" s="608"/>
    </row>
    <row r="25" spans="1:18" s="547" customFormat="1" ht="15">
      <c r="A25" s="565"/>
      <c r="B25" s="574">
        <v>6419</v>
      </c>
      <c r="C25" s="572"/>
      <c r="D25" s="575" t="s">
        <v>73</v>
      </c>
      <c r="E25" s="395"/>
      <c r="F25" s="395"/>
      <c r="G25" s="395"/>
      <c r="H25" s="317"/>
      <c r="I25" s="610"/>
      <c r="J25" s="610"/>
      <c r="K25" s="608"/>
      <c r="L25" s="442"/>
      <c r="M25" s="608"/>
      <c r="N25" s="608"/>
      <c r="O25" s="608"/>
      <c r="P25" s="608"/>
      <c r="Q25" s="608"/>
      <c r="R25" s="608"/>
    </row>
    <row r="26" spans="1:18" s="235" customFormat="1" ht="30">
      <c r="A26" s="280"/>
      <c r="B26" s="576">
        <v>65</v>
      </c>
      <c r="C26" s="577"/>
      <c r="D26" s="578" t="s">
        <v>74</v>
      </c>
      <c r="E26" s="268">
        <f aca="true" t="shared" si="0" ref="E26:H27">SUM(E27)</f>
        <v>293266.66</v>
      </c>
      <c r="F26" s="268">
        <f t="shared" si="0"/>
        <v>364987.72</v>
      </c>
      <c r="G26" s="268">
        <f t="shared" si="0"/>
        <v>343000</v>
      </c>
      <c r="H26" s="268">
        <f t="shared" si="0"/>
        <v>317079.9</v>
      </c>
      <c r="I26" s="602">
        <f>SUM(H26/E26*100)</f>
        <v>108.11999563809948</v>
      </c>
      <c r="J26" s="602">
        <f>SUM(H26/G26*100)</f>
        <v>92.4431195335277</v>
      </c>
      <c r="K26" s="234"/>
      <c r="L26" s="234"/>
      <c r="M26" s="234"/>
      <c r="N26" s="234"/>
      <c r="O26" s="234"/>
      <c r="P26" s="234"/>
      <c r="Q26" s="234"/>
      <c r="R26" s="234"/>
    </row>
    <row r="27" spans="1:18" s="235" customFormat="1" ht="15">
      <c r="A27" s="280"/>
      <c r="B27" s="283">
        <v>652</v>
      </c>
      <c r="C27" s="579"/>
      <c r="D27" s="580" t="s">
        <v>75</v>
      </c>
      <c r="E27" s="379">
        <f t="shared" si="0"/>
        <v>293266.66</v>
      </c>
      <c r="F27" s="379">
        <f t="shared" si="0"/>
        <v>364987.72</v>
      </c>
      <c r="G27" s="379">
        <f t="shared" si="0"/>
        <v>343000</v>
      </c>
      <c r="H27" s="379">
        <f t="shared" si="0"/>
        <v>317079.9</v>
      </c>
      <c r="I27" s="605"/>
      <c r="J27" s="605"/>
      <c r="K27" s="234"/>
      <c r="L27" s="234"/>
      <c r="M27" s="234"/>
      <c r="N27" s="234"/>
      <c r="O27" s="234"/>
      <c r="P27" s="234"/>
      <c r="Q27" s="234"/>
      <c r="R27" s="234"/>
    </row>
    <row r="28" spans="1:18" s="236" customFormat="1" ht="15">
      <c r="A28" s="278"/>
      <c r="B28" s="277">
        <v>6526</v>
      </c>
      <c r="C28" s="581"/>
      <c r="D28" s="582" t="s">
        <v>76</v>
      </c>
      <c r="E28" s="381">
        <v>293266.66</v>
      </c>
      <c r="F28" s="381">
        <v>364987.72</v>
      </c>
      <c r="G28" s="381">
        <v>343000</v>
      </c>
      <c r="H28" s="317">
        <v>317079.9</v>
      </c>
      <c r="I28" s="605"/>
      <c r="J28" s="605"/>
      <c r="K28" s="246"/>
      <c r="L28" s="246"/>
      <c r="M28" s="246"/>
      <c r="N28" s="246"/>
      <c r="O28" s="246"/>
      <c r="P28" s="246"/>
      <c r="Q28" s="246"/>
      <c r="R28" s="246"/>
    </row>
    <row r="29" spans="1:18" s="236" customFormat="1" ht="30">
      <c r="A29" s="278"/>
      <c r="B29" s="265">
        <v>67</v>
      </c>
      <c r="C29" s="559"/>
      <c r="D29" s="560" t="s">
        <v>77</v>
      </c>
      <c r="E29" s="268">
        <f>E30</f>
        <v>6448876.39</v>
      </c>
      <c r="F29" s="268">
        <f>F30</f>
        <v>6105249.19</v>
      </c>
      <c r="G29" s="268">
        <f>SUM(G30)</f>
        <v>6700000</v>
      </c>
      <c r="H29" s="268">
        <f>SUM(H30)</f>
        <v>6731754.32</v>
      </c>
      <c r="I29" s="602">
        <f>SUM(H29/E29*100)</f>
        <v>104.38646847749551</v>
      </c>
      <c r="J29" s="602">
        <f>SUM(H29/G29*100)</f>
        <v>100.47394507462688</v>
      </c>
      <c r="K29" s="246"/>
      <c r="L29" s="246"/>
      <c r="M29" s="246"/>
      <c r="N29" s="246"/>
      <c r="O29" s="246"/>
      <c r="P29" s="246"/>
      <c r="Q29" s="246"/>
      <c r="R29" s="246"/>
    </row>
    <row r="30" spans="1:18" s="236" customFormat="1" ht="15">
      <c r="A30" s="278"/>
      <c r="B30" s="273" t="s">
        <v>78</v>
      </c>
      <c r="C30" s="323"/>
      <c r="D30" s="281" t="s">
        <v>79</v>
      </c>
      <c r="E30" s="379">
        <f>SUM(E31)</f>
        <v>6448876.39</v>
      </c>
      <c r="F30" s="379">
        <f>SUM(F31)</f>
        <v>6105249.19</v>
      </c>
      <c r="G30" s="379">
        <f>SUM(G31)</f>
        <v>6700000</v>
      </c>
      <c r="H30" s="379">
        <f>SUM(H31)</f>
        <v>6731754.32</v>
      </c>
      <c r="I30" s="611"/>
      <c r="J30" s="605"/>
      <c r="K30" s="246"/>
      <c r="L30" s="246"/>
      <c r="M30" s="246"/>
      <c r="N30" s="246"/>
      <c r="O30" s="246"/>
      <c r="P30" s="246"/>
      <c r="Q30" s="246"/>
      <c r="R30" s="246"/>
    </row>
    <row r="31" spans="1:18" s="236" customFormat="1" ht="15">
      <c r="A31" s="278"/>
      <c r="B31" s="274" t="s">
        <v>80</v>
      </c>
      <c r="C31" s="327"/>
      <c r="D31" s="282" t="s">
        <v>79</v>
      </c>
      <c r="E31" s="381">
        <v>6448876.39</v>
      </c>
      <c r="F31" s="381">
        <v>6105249.19</v>
      </c>
      <c r="G31" s="381">
        <v>6700000</v>
      </c>
      <c r="H31" s="317">
        <v>6731754.32</v>
      </c>
      <c r="I31" s="612"/>
      <c r="J31" s="605"/>
      <c r="K31" s="246"/>
      <c r="L31" s="246"/>
      <c r="M31" s="246"/>
      <c r="N31" s="246"/>
      <c r="O31" s="246"/>
      <c r="P31" s="246"/>
      <c r="Q31" s="246"/>
      <c r="R31" s="246"/>
    </row>
    <row r="32" spans="1:18" s="236" customFormat="1" ht="15">
      <c r="A32" s="278"/>
      <c r="B32" s="265" t="s">
        <v>81</v>
      </c>
      <c r="C32" s="559"/>
      <c r="D32" s="560" t="s">
        <v>82</v>
      </c>
      <c r="E32" s="268">
        <f aca="true" t="shared" si="1" ref="E32:H33">SUM(E33)</f>
        <v>0</v>
      </c>
      <c r="F32" s="268">
        <f t="shared" si="1"/>
        <v>0</v>
      </c>
      <c r="G32" s="268">
        <f t="shared" si="1"/>
        <v>0</v>
      </c>
      <c r="H32" s="268">
        <f t="shared" si="1"/>
        <v>0</v>
      </c>
      <c r="I32" s="602"/>
      <c r="J32" s="602"/>
      <c r="K32" s="246"/>
      <c r="L32" s="246"/>
      <c r="M32" s="246"/>
      <c r="N32" s="246"/>
      <c r="O32" s="246"/>
      <c r="P32" s="246"/>
      <c r="Q32" s="246"/>
      <c r="R32" s="246"/>
    </row>
    <row r="33" spans="1:18" s="236" customFormat="1" ht="15">
      <c r="A33" s="278"/>
      <c r="B33" s="273" t="s">
        <v>83</v>
      </c>
      <c r="C33" s="323"/>
      <c r="D33" s="583" t="s">
        <v>84</v>
      </c>
      <c r="E33" s="379">
        <f t="shared" si="1"/>
        <v>0</v>
      </c>
      <c r="F33" s="379">
        <f t="shared" si="1"/>
        <v>0</v>
      </c>
      <c r="G33" s="379">
        <f t="shared" si="1"/>
        <v>0</v>
      </c>
      <c r="H33" s="379">
        <f t="shared" si="1"/>
        <v>0</v>
      </c>
      <c r="I33" s="611"/>
      <c r="J33" s="605"/>
      <c r="K33" s="246"/>
      <c r="L33" s="246"/>
      <c r="M33" s="246"/>
      <c r="N33" s="246"/>
      <c r="O33" s="246"/>
      <c r="P33" s="246"/>
      <c r="Q33" s="246"/>
      <c r="R33" s="246"/>
    </row>
    <row r="34" spans="1:18" s="236" customFormat="1" ht="15">
      <c r="A34" s="278"/>
      <c r="B34" s="274" t="s">
        <v>85</v>
      </c>
      <c r="C34" s="327"/>
      <c r="D34" s="584" t="s">
        <v>84</v>
      </c>
      <c r="E34" s="381"/>
      <c r="F34" s="381"/>
      <c r="G34" s="381"/>
      <c r="H34" s="317"/>
      <c r="I34" s="612"/>
      <c r="J34" s="605"/>
      <c r="K34" s="246"/>
      <c r="L34" s="246"/>
      <c r="M34" s="246"/>
      <c r="N34" s="246"/>
      <c r="O34" s="246"/>
      <c r="P34" s="246"/>
      <c r="Q34" s="246"/>
      <c r="R34" s="246"/>
    </row>
    <row r="35" spans="1:18" s="547" customFormat="1" ht="15">
      <c r="A35" s="565"/>
      <c r="B35" s="566"/>
      <c r="C35" s="330">
        <v>43</v>
      </c>
      <c r="D35" s="331" t="s">
        <v>86</v>
      </c>
      <c r="E35" s="384">
        <f>SUM(E26,E29,E32)</f>
        <v>6742143.05</v>
      </c>
      <c r="F35" s="384">
        <f>SUM(F23,F26,F29,F32)</f>
        <v>6470236.91</v>
      </c>
      <c r="G35" s="384">
        <f>SUM(G23,G26,G29,G32)</f>
        <v>7043000</v>
      </c>
      <c r="H35" s="384">
        <f>SUM(H23,H26,H29,H32)</f>
        <v>7048834.220000001</v>
      </c>
      <c r="I35" s="613">
        <f>SUM(H35/E35*100)</f>
        <v>104.54886773723973</v>
      </c>
      <c r="J35" s="607">
        <f>SUM(H35/G35*100)</f>
        <v>100.08283714326282</v>
      </c>
      <c r="K35" s="608"/>
      <c r="L35" s="608"/>
      <c r="M35" s="608"/>
      <c r="N35" s="608"/>
      <c r="O35" s="608"/>
      <c r="P35" s="608"/>
      <c r="Q35" s="608"/>
      <c r="R35" s="608"/>
    </row>
    <row r="36" spans="1:18" s="236" customFormat="1" ht="15">
      <c r="A36" s="280"/>
      <c r="B36" s="567">
        <v>64</v>
      </c>
      <c r="C36" s="568"/>
      <c r="D36" s="569" t="s">
        <v>71</v>
      </c>
      <c r="E36" s="287">
        <f>SUM(E37)</f>
        <v>279.69</v>
      </c>
      <c r="F36" s="287">
        <f>SUM(F37)</f>
        <v>663.61</v>
      </c>
      <c r="G36" s="287">
        <f>SUM(G37)</f>
        <v>700</v>
      </c>
      <c r="H36" s="287">
        <f>SUM(H37)</f>
        <v>613.96</v>
      </c>
      <c r="I36" s="602">
        <f>SUM(H36/E36*100)</f>
        <v>219.5144624405592</v>
      </c>
      <c r="J36" s="602">
        <f>SUM(H36/G36*100)</f>
        <v>87.70857142857143</v>
      </c>
      <c r="K36" s="246"/>
      <c r="L36" s="246"/>
      <c r="M36" s="246"/>
      <c r="N36" s="246"/>
      <c r="O36" s="246"/>
      <c r="P36" s="246"/>
      <c r="Q36" s="246"/>
      <c r="R36" s="246"/>
    </row>
    <row r="37" spans="1:18" s="236" customFormat="1" ht="15">
      <c r="A37" s="280"/>
      <c r="B37" s="571">
        <v>641</v>
      </c>
      <c r="C37" s="572"/>
      <c r="D37" s="573" t="s">
        <v>72</v>
      </c>
      <c r="E37" s="270">
        <f>SUM(E38:E40)</f>
        <v>279.69</v>
      </c>
      <c r="F37" s="270">
        <f>SUM(F38:F40)</f>
        <v>663.61</v>
      </c>
      <c r="G37" s="270">
        <f>SUM(G38:G40)</f>
        <v>700</v>
      </c>
      <c r="H37" s="270">
        <f>SUM(H38:H40)</f>
        <v>613.96</v>
      </c>
      <c r="I37" s="605"/>
      <c r="J37" s="605"/>
      <c r="K37" s="246"/>
      <c r="L37" s="246"/>
      <c r="M37" s="246"/>
      <c r="N37" s="246"/>
      <c r="O37" s="246"/>
      <c r="P37" s="246"/>
      <c r="Q37" s="246"/>
      <c r="R37" s="246"/>
    </row>
    <row r="38" spans="1:18" s="235" customFormat="1" ht="15">
      <c r="A38" s="278"/>
      <c r="B38" s="574">
        <v>6413</v>
      </c>
      <c r="C38" s="585"/>
      <c r="D38" s="575" t="s">
        <v>87</v>
      </c>
      <c r="E38" s="272">
        <v>5.56</v>
      </c>
      <c r="F38" s="272">
        <v>398.17</v>
      </c>
      <c r="G38" s="272">
        <v>300</v>
      </c>
      <c r="H38" s="317">
        <v>339.76</v>
      </c>
      <c r="I38" s="605"/>
      <c r="J38" s="605"/>
      <c r="K38" s="234"/>
      <c r="L38" s="234"/>
      <c r="M38" s="234"/>
      <c r="N38" s="234"/>
      <c r="O38" s="234"/>
      <c r="P38" s="234"/>
      <c r="Q38" s="234"/>
      <c r="R38" s="234"/>
    </row>
    <row r="39" spans="1:18" s="235" customFormat="1" ht="15">
      <c r="A39" s="278"/>
      <c r="B39" s="574">
        <v>6419</v>
      </c>
      <c r="C39" s="585"/>
      <c r="D39" s="575" t="s">
        <v>73</v>
      </c>
      <c r="E39" s="272">
        <v>274.13</v>
      </c>
      <c r="F39" s="272">
        <v>265.44</v>
      </c>
      <c r="G39" s="272">
        <v>400</v>
      </c>
      <c r="H39" s="317"/>
      <c r="I39" s="605"/>
      <c r="J39" s="605"/>
      <c r="K39" s="234"/>
      <c r="L39" s="234"/>
      <c r="M39" s="234"/>
      <c r="N39" s="234"/>
      <c r="O39" s="234"/>
      <c r="P39" s="234"/>
      <c r="Q39" s="234"/>
      <c r="R39" s="234"/>
    </row>
    <row r="40" spans="1:18" s="235" customFormat="1" ht="15">
      <c r="A40" s="278"/>
      <c r="B40" s="574">
        <v>6429</v>
      </c>
      <c r="C40" s="585"/>
      <c r="D40" s="575" t="s">
        <v>88</v>
      </c>
      <c r="E40" s="586"/>
      <c r="F40" s="586"/>
      <c r="G40" s="272"/>
      <c r="H40" s="317">
        <v>274.2</v>
      </c>
      <c r="I40" s="605"/>
      <c r="J40" s="605"/>
      <c r="K40" s="234"/>
      <c r="L40" s="234"/>
      <c r="M40" s="234"/>
      <c r="N40" s="234"/>
      <c r="O40" s="234"/>
      <c r="P40" s="234"/>
      <c r="Q40" s="234"/>
      <c r="R40" s="234"/>
    </row>
    <row r="41" spans="1:18" s="235" customFormat="1" ht="30">
      <c r="A41" s="278"/>
      <c r="B41" s="576">
        <v>65</v>
      </c>
      <c r="C41" s="577"/>
      <c r="D41" s="578" t="s">
        <v>74</v>
      </c>
      <c r="E41" s="570">
        <f aca="true" t="shared" si="2" ref="E41:H42">SUM(E42)</f>
        <v>0</v>
      </c>
      <c r="F41" s="570">
        <f t="shared" si="2"/>
        <v>0</v>
      </c>
      <c r="G41" s="570">
        <f t="shared" si="2"/>
        <v>0</v>
      </c>
      <c r="H41" s="570">
        <f t="shared" si="2"/>
        <v>2208.06</v>
      </c>
      <c r="I41" s="602"/>
      <c r="J41" s="602"/>
      <c r="K41" s="234"/>
      <c r="L41" s="234"/>
      <c r="M41" s="234"/>
      <c r="N41" s="234"/>
      <c r="O41" s="234"/>
      <c r="P41" s="234"/>
      <c r="Q41" s="234"/>
      <c r="R41" s="234"/>
    </row>
    <row r="42" spans="1:18" s="235" customFormat="1" ht="15">
      <c r="A42" s="278"/>
      <c r="B42" s="283">
        <v>652</v>
      </c>
      <c r="C42" s="579"/>
      <c r="D42" s="580" t="s">
        <v>75</v>
      </c>
      <c r="E42" s="390">
        <f t="shared" si="2"/>
        <v>0</v>
      </c>
      <c r="F42" s="390">
        <f t="shared" si="2"/>
        <v>0</v>
      </c>
      <c r="G42" s="390">
        <f t="shared" si="2"/>
        <v>0</v>
      </c>
      <c r="H42" s="390">
        <f t="shared" si="2"/>
        <v>2208.06</v>
      </c>
      <c r="I42" s="609"/>
      <c r="J42" s="609"/>
      <c r="K42" s="234"/>
      <c r="L42" s="234"/>
      <c r="M42" s="234"/>
      <c r="N42" s="234"/>
      <c r="O42" s="234"/>
      <c r="P42" s="234"/>
      <c r="Q42" s="234"/>
      <c r="R42" s="234"/>
    </row>
    <row r="43" spans="1:18" s="235" customFormat="1" ht="15">
      <c r="A43" s="278"/>
      <c r="B43" s="277">
        <v>6526</v>
      </c>
      <c r="C43" s="581"/>
      <c r="D43" s="582" t="s">
        <v>76</v>
      </c>
      <c r="E43" s="395">
        <v>0</v>
      </c>
      <c r="F43" s="395"/>
      <c r="G43" s="395">
        <v>0</v>
      </c>
      <c r="H43" s="317">
        <v>2208.06</v>
      </c>
      <c r="I43" s="609"/>
      <c r="J43" s="609"/>
      <c r="K43" s="234"/>
      <c r="L43" s="234"/>
      <c r="M43" s="234"/>
      <c r="N43" s="234"/>
      <c r="O43" s="234"/>
      <c r="P43" s="234"/>
      <c r="Q43" s="234"/>
      <c r="R43" s="234"/>
    </row>
    <row r="44" spans="1:18" s="235" customFormat="1" ht="30">
      <c r="A44" s="280"/>
      <c r="B44" s="265">
        <v>66</v>
      </c>
      <c r="C44" s="559"/>
      <c r="D44" s="560" t="s">
        <v>89</v>
      </c>
      <c r="E44" s="587">
        <f aca="true" t="shared" si="3" ref="E44:E49">SUM(E45)</f>
        <v>1471654.72</v>
      </c>
      <c r="F44" s="587">
        <f aca="true" t="shared" si="4" ref="F44:F49">SUM(F45)</f>
        <v>1041874.05</v>
      </c>
      <c r="G44" s="587">
        <f>G45</f>
        <v>1560000</v>
      </c>
      <c r="H44" s="587">
        <f>H45</f>
        <v>1577552.37</v>
      </c>
      <c r="I44" s="602">
        <f>SUM(H44/E44*100)</f>
        <v>107.19582172100806</v>
      </c>
      <c r="J44" s="602">
        <f>SUM(H44/G44*100)</f>
        <v>101.12515192307694</v>
      </c>
      <c r="K44" s="234"/>
      <c r="L44" s="234"/>
      <c r="M44" s="234"/>
      <c r="N44" s="234"/>
      <c r="O44" s="234"/>
      <c r="P44" s="234"/>
      <c r="Q44" s="234"/>
      <c r="R44" s="234"/>
    </row>
    <row r="45" spans="1:18" s="235" customFormat="1" ht="15">
      <c r="A45" s="280"/>
      <c r="B45" s="273" t="s">
        <v>90</v>
      </c>
      <c r="C45" s="323"/>
      <c r="D45" s="281" t="s">
        <v>91</v>
      </c>
      <c r="E45" s="588">
        <f>SUM(E46:E47)</f>
        <v>1471654.72</v>
      </c>
      <c r="F45" s="588">
        <f>SUM(F46:F47)</f>
        <v>1041874.05</v>
      </c>
      <c r="G45" s="588">
        <f>SUM(G46:G47)</f>
        <v>1560000</v>
      </c>
      <c r="H45" s="588">
        <f>SUM(H46:H47)</f>
        <v>1577552.37</v>
      </c>
      <c r="I45" s="605"/>
      <c r="J45" s="605"/>
      <c r="K45" s="234"/>
      <c r="L45" s="234"/>
      <c r="M45" s="234"/>
      <c r="N45" s="234"/>
      <c r="O45" s="234"/>
      <c r="P45" s="234"/>
      <c r="Q45" s="234"/>
      <c r="R45" s="234"/>
    </row>
    <row r="46" spans="1:18" s="235" customFormat="1" ht="15">
      <c r="A46" s="280"/>
      <c r="B46" s="274" t="s">
        <v>92</v>
      </c>
      <c r="C46" s="327"/>
      <c r="D46" s="282" t="s">
        <v>93</v>
      </c>
      <c r="E46" s="586">
        <v>1121722.52</v>
      </c>
      <c r="F46" s="589">
        <v>796336.85</v>
      </c>
      <c r="G46" s="589">
        <v>1180000</v>
      </c>
      <c r="H46" s="317">
        <v>1215923.61</v>
      </c>
      <c r="I46" s="606"/>
      <c r="J46" s="606"/>
      <c r="K46" s="234"/>
      <c r="L46" s="234"/>
      <c r="M46" s="234"/>
      <c r="N46" s="234"/>
      <c r="O46" s="234"/>
      <c r="P46" s="234"/>
      <c r="Q46" s="234"/>
      <c r="R46" s="234"/>
    </row>
    <row r="47" spans="1:18" s="236" customFormat="1" ht="15">
      <c r="A47" s="278"/>
      <c r="B47" s="274" t="s">
        <v>94</v>
      </c>
      <c r="C47" s="327"/>
      <c r="D47" s="282" t="s">
        <v>95</v>
      </c>
      <c r="E47" s="586">
        <v>349932.2</v>
      </c>
      <c r="F47" s="586">
        <v>245537.2</v>
      </c>
      <c r="G47" s="589">
        <v>380000</v>
      </c>
      <c r="H47" s="317">
        <v>361628.76</v>
      </c>
      <c r="I47" s="605"/>
      <c r="J47" s="605"/>
      <c r="K47" s="246"/>
      <c r="L47" s="246"/>
      <c r="M47" s="246"/>
      <c r="N47" s="246"/>
      <c r="O47" s="246"/>
      <c r="P47" s="246"/>
      <c r="Q47" s="246"/>
      <c r="R47" s="246"/>
    </row>
    <row r="48" spans="1:18" s="236" customFormat="1" ht="15">
      <c r="A48" s="280"/>
      <c r="B48" s="265" t="s">
        <v>81</v>
      </c>
      <c r="C48" s="559"/>
      <c r="D48" s="560" t="s">
        <v>82</v>
      </c>
      <c r="E48" s="587">
        <f t="shared" si="3"/>
        <v>105828.95</v>
      </c>
      <c r="F48" s="587">
        <f t="shared" si="4"/>
        <v>131395.58</v>
      </c>
      <c r="G48" s="587">
        <f>G49</f>
        <v>120000</v>
      </c>
      <c r="H48" s="587">
        <f>H49</f>
        <v>117973.66</v>
      </c>
      <c r="I48" s="602">
        <f>SUM(H48/E48*100)</f>
        <v>111.47579183200817</v>
      </c>
      <c r="J48" s="602">
        <f>SUM(H48/G48*100)</f>
        <v>98.31138333333334</v>
      </c>
      <c r="K48" s="246"/>
      <c r="L48" s="246"/>
      <c r="M48" s="246"/>
      <c r="N48" s="246"/>
      <c r="O48" s="246"/>
      <c r="P48" s="246"/>
      <c r="Q48" s="246"/>
      <c r="R48" s="246"/>
    </row>
    <row r="49" spans="1:18" s="236" customFormat="1" ht="15">
      <c r="A49" s="280"/>
      <c r="B49" s="273" t="s">
        <v>83</v>
      </c>
      <c r="C49" s="323"/>
      <c r="D49" s="281" t="s">
        <v>84</v>
      </c>
      <c r="E49" s="588">
        <f t="shared" si="3"/>
        <v>105828.95</v>
      </c>
      <c r="F49" s="588">
        <f t="shared" si="4"/>
        <v>131395.58</v>
      </c>
      <c r="G49" s="588">
        <f>SUM(G50)</f>
        <v>120000</v>
      </c>
      <c r="H49" s="588">
        <f>SUM(H50)</f>
        <v>117973.66</v>
      </c>
      <c r="I49" s="605"/>
      <c r="J49" s="605"/>
      <c r="K49" s="246"/>
      <c r="L49" s="246"/>
      <c r="M49" s="246"/>
      <c r="N49" s="246"/>
      <c r="O49" s="246"/>
      <c r="P49" s="246"/>
      <c r="Q49" s="246"/>
      <c r="R49" s="246"/>
    </row>
    <row r="50" spans="1:18" s="236" customFormat="1" ht="15">
      <c r="A50" s="278"/>
      <c r="B50" s="274" t="s">
        <v>85</v>
      </c>
      <c r="C50" s="327"/>
      <c r="D50" s="282" t="s">
        <v>84</v>
      </c>
      <c r="E50" s="589">
        <v>105828.95</v>
      </c>
      <c r="F50" s="589">
        <v>131395.58</v>
      </c>
      <c r="G50" s="589">
        <v>120000</v>
      </c>
      <c r="H50" s="317">
        <v>117973.66</v>
      </c>
      <c r="I50" s="605"/>
      <c r="J50" s="605"/>
      <c r="K50" s="246"/>
      <c r="L50" s="246"/>
      <c r="M50" s="246"/>
      <c r="N50" s="246"/>
      <c r="O50" s="246"/>
      <c r="P50" s="246"/>
      <c r="Q50" s="246"/>
      <c r="R50" s="246"/>
    </row>
    <row r="51" spans="1:18" s="548" customFormat="1" ht="15">
      <c r="A51" s="565"/>
      <c r="B51" s="566"/>
      <c r="C51" s="330" t="s">
        <v>96</v>
      </c>
      <c r="D51" s="331" t="s">
        <v>97</v>
      </c>
      <c r="E51" s="384">
        <f>E36+E44+E48</f>
        <v>1577763.3599999999</v>
      </c>
      <c r="F51" s="384">
        <f>F36+F44+F48</f>
        <v>1173933.24</v>
      </c>
      <c r="G51" s="384">
        <f>G36+G44+G48</f>
        <v>1680700</v>
      </c>
      <c r="H51" s="384">
        <f>H36+H41+H44+H48</f>
        <v>1698348.05</v>
      </c>
      <c r="I51" s="613">
        <f>SUM(H51/E51*100)</f>
        <v>107.64276145948783</v>
      </c>
      <c r="J51" s="607">
        <f>SUM(H51/G51*100)</f>
        <v>101.05004164931279</v>
      </c>
      <c r="K51" s="359"/>
      <c r="L51" s="359"/>
      <c r="M51" s="359"/>
      <c r="N51" s="359"/>
      <c r="O51" s="359"/>
      <c r="P51" s="359"/>
      <c r="Q51" s="359"/>
      <c r="R51" s="359"/>
    </row>
    <row r="52" spans="1:18" s="235" customFormat="1" ht="30">
      <c r="A52" s="280"/>
      <c r="B52" s="265">
        <v>66</v>
      </c>
      <c r="C52" s="559"/>
      <c r="D52" s="560" t="s">
        <v>89</v>
      </c>
      <c r="E52" s="287">
        <f>E53</f>
        <v>0</v>
      </c>
      <c r="F52" s="287">
        <f>F53</f>
        <v>0</v>
      </c>
      <c r="G52" s="287">
        <f>SUM(G53)</f>
        <v>1310</v>
      </c>
      <c r="H52" s="287">
        <f>SUM(H53)</f>
        <v>6310</v>
      </c>
      <c r="I52" s="602"/>
      <c r="J52" s="602">
        <f>SUM(H52/G52*100)</f>
        <v>481.6793893129771</v>
      </c>
      <c r="K52" s="234"/>
      <c r="L52" s="234"/>
      <c r="M52" s="234"/>
      <c r="N52" s="234"/>
      <c r="O52" s="234"/>
      <c r="P52" s="234"/>
      <c r="Q52" s="234"/>
      <c r="R52" s="234"/>
    </row>
    <row r="53" spans="1:18" s="549" customFormat="1" ht="30">
      <c r="A53" s="264"/>
      <c r="B53" s="291">
        <v>663</v>
      </c>
      <c r="C53" s="572"/>
      <c r="D53" s="573" t="s">
        <v>98</v>
      </c>
      <c r="E53" s="270">
        <f>SUM(E54:E55)</f>
        <v>0</v>
      </c>
      <c r="F53" s="270">
        <f>SUM(F54:F55)</f>
        <v>0</v>
      </c>
      <c r="G53" s="270">
        <f>SUM(G54:G55)</f>
        <v>1310</v>
      </c>
      <c r="H53" s="270">
        <f>SUM(H54:H55)</f>
        <v>6310</v>
      </c>
      <c r="I53" s="605"/>
      <c r="J53" s="605"/>
      <c r="K53" s="234"/>
      <c r="L53" s="234"/>
      <c r="M53" s="234"/>
      <c r="N53" s="234"/>
      <c r="O53" s="234"/>
      <c r="P53" s="234"/>
      <c r="Q53" s="234"/>
      <c r="R53" s="234"/>
    </row>
    <row r="54" spans="1:18" s="549" customFormat="1" ht="15">
      <c r="A54" s="264"/>
      <c r="B54" s="274">
        <v>6631</v>
      </c>
      <c r="C54" s="590"/>
      <c r="D54" s="591" t="s">
        <v>99</v>
      </c>
      <c r="E54" s="586"/>
      <c r="F54" s="272"/>
      <c r="G54" s="272">
        <v>1310</v>
      </c>
      <c r="H54" s="317">
        <v>1310</v>
      </c>
      <c r="I54" s="605"/>
      <c r="J54" s="605"/>
      <c r="K54" s="234"/>
      <c r="L54" s="234"/>
      <c r="M54" s="234"/>
      <c r="N54" s="234"/>
      <c r="O54" s="234"/>
      <c r="P54" s="234"/>
      <c r="Q54" s="234"/>
      <c r="R54" s="234"/>
    </row>
    <row r="55" spans="1:10" s="246" customFormat="1" ht="15">
      <c r="A55" s="592"/>
      <c r="B55" s="274" t="s">
        <v>100</v>
      </c>
      <c r="C55" s="590"/>
      <c r="D55" s="591" t="s">
        <v>101</v>
      </c>
      <c r="E55" s="586"/>
      <c r="F55" s="593"/>
      <c r="G55" s="593"/>
      <c r="H55" s="317">
        <v>5000</v>
      </c>
      <c r="I55" s="605"/>
      <c r="J55" s="605"/>
    </row>
    <row r="56" spans="1:18" s="236" customFormat="1" ht="15">
      <c r="A56" s="280"/>
      <c r="B56" s="571"/>
      <c r="C56" s="330" t="s">
        <v>102</v>
      </c>
      <c r="D56" s="331" t="s">
        <v>103</v>
      </c>
      <c r="E56" s="384">
        <f>SUM(E52)</f>
        <v>0</v>
      </c>
      <c r="F56" s="384">
        <f>SUM(F52)</f>
        <v>0</v>
      </c>
      <c r="G56" s="384">
        <f>SUM(G52)</f>
        <v>1310</v>
      </c>
      <c r="H56" s="384">
        <f>H52</f>
        <v>6310</v>
      </c>
      <c r="I56" s="613"/>
      <c r="J56" s="607">
        <f aca="true" t="shared" si="5" ref="J56:J61">SUM(H56/G56*100)</f>
        <v>481.6793893129771</v>
      </c>
      <c r="K56" s="246"/>
      <c r="L56" s="246"/>
      <c r="M56" s="246"/>
      <c r="N56" s="246"/>
      <c r="O56" s="246"/>
      <c r="P56" s="246"/>
      <c r="Q56" s="246"/>
      <c r="R56" s="246"/>
    </row>
    <row r="57" spans="1:18" s="236" customFormat="1" ht="30">
      <c r="A57" s="280"/>
      <c r="B57" s="576">
        <v>65</v>
      </c>
      <c r="C57" s="577"/>
      <c r="D57" s="578" t="s">
        <v>74</v>
      </c>
      <c r="E57" s="570">
        <f aca="true" t="shared" si="6" ref="E57:H58">SUM(E58)</f>
        <v>3769.67</v>
      </c>
      <c r="F57" s="570">
        <f t="shared" si="6"/>
        <v>0</v>
      </c>
      <c r="G57" s="570">
        <f t="shared" si="6"/>
        <v>7000</v>
      </c>
      <c r="H57" s="570">
        <f t="shared" si="6"/>
        <v>12275.78</v>
      </c>
      <c r="I57" s="602">
        <f>SUM(H57/E57*100)</f>
        <v>325.6460114545836</v>
      </c>
      <c r="J57" s="602">
        <f t="shared" si="5"/>
        <v>175.36828571428572</v>
      </c>
      <c r="K57" s="246"/>
      <c r="L57" s="246"/>
      <c r="M57" s="246"/>
      <c r="N57" s="246"/>
      <c r="O57" s="246"/>
      <c r="P57" s="246"/>
      <c r="Q57" s="246"/>
      <c r="R57" s="246"/>
    </row>
    <row r="58" spans="1:18" s="236" customFormat="1" ht="15">
      <c r="A58" s="280"/>
      <c r="B58" s="283">
        <v>652</v>
      </c>
      <c r="C58" s="579"/>
      <c r="D58" s="580" t="s">
        <v>75</v>
      </c>
      <c r="E58" s="390">
        <f t="shared" si="6"/>
        <v>3769.67</v>
      </c>
      <c r="F58" s="390">
        <f t="shared" si="6"/>
        <v>0</v>
      </c>
      <c r="G58" s="390">
        <f t="shared" si="6"/>
        <v>7000</v>
      </c>
      <c r="H58" s="390">
        <f t="shared" si="6"/>
        <v>12275.78</v>
      </c>
      <c r="I58" s="609"/>
      <c r="J58" s="609"/>
      <c r="K58" s="246"/>
      <c r="L58" s="246"/>
      <c r="M58" s="246"/>
      <c r="N58" s="246"/>
      <c r="O58" s="246"/>
      <c r="P58" s="246"/>
      <c r="Q58" s="246"/>
      <c r="R58" s="246"/>
    </row>
    <row r="59" spans="1:18" s="236" customFormat="1" ht="15">
      <c r="A59" s="280"/>
      <c r="B59" s="277">
        <v>6526</v>
      </c>
      <c r="C59" s="581"/>
      <c r="D59" s="582" t="s">
        <v>76</v>
      </c>
      <c r="E59" s="395">
        <v>3769.67</v>
      </c>
      <c r="F59" s="395"/>
      <c r="G59" s="395">
        <v>7000</v>
      </c>
      <c r="H59" s="317">
        <v>12275.78</v>
      </c>
      <c r="I59" s="609"/>
      <c r="J59" s="609"/>
      <c r="K59" s="246"/>
      <c r="L59" s="246"/>
      <c r="M59" s="246"/>
      <c r="N59" s="246"/>
      <c r="O59" s="246"/>
      <c r="P59" s="246"/>
      <c r="Q59" s="246"/>
      <c r="R59" s="246"/>
    </row>
    <row r="60" spans="1:18" s="236" customFormat="1" ht="15">
      <c r="A60" s="280"/>
      <c r="B60" s="277"/>
      <c r="C60" s="594">
        <v>71</v>
      </c>
      <c r="D60" s="595" t="s">
        <v>104</v>
      </c>
      <c r="E60" s="384">
        <f>SUM(E57)</f>
        <v>3769.67</v>
      </c>
      <c r="F60" s="384">
        <f>SUM(F57)</f>
        <v>0</v>
      </c>
      <c r="G60" s="384">
        <f>SUM(G57)</f>
        <v>7000</v>
      </c>
      <c r="H60" s="384">
        <f>SUM(H57)</f>
        <v>12275.78</v>
      </c>
      <c r="I60" s="613">
        <f>SUM(H60/E60*100)</f>
        <v>325.6460114545836</v>
      </c>
      <c r="J60" s="607">
        <f t="shared" si="5"/>
        <v>175.36828571428572</v>
      </c>
      <c r="K60" s="246"/>
      <c r="L60" s="246"/>
      <c r="M60" s="246"/>
      <c r="N60" s="246"/>
      <c r="O60" s="246"/>
      <c r="P60" s="246"/>
      <c r="Q60" s="246"/>
      <c r="R60" s="246"/>
    </row>
    <row r="61" spans="1:18" s="235" customFormat="1" ht="15">
      <c r="A61" s="596">
        <v>7</v>
      </c>
      <c r="B61" s="596">
        <v>7</v>
      </c>
      <c r="C61" s="597"/>
      <c r="D61" s="598" t="s">
        <v>105</v>
      </c>
      <c r="E61" s="322">
        <f>E62</f>
        <v>0</v>
      </c>
      <c r="F61" s="322">
        <f>SUM(F62)</f>
        <v>0</v>
      </c>
      <c r="G61" s="322">
        <f>SUM(G62)</f>
        <v>1000</v>
      </c>
      <c r="H61" s="322">
        <f>SUM(H62)</f>
        <v>3892.2</v>
      </c>
      <c r="I61" s="601"/>
      <c r="J61" s="614">
        <f t="shared" si="5"/>
        <v>389.21999999999997</v>
      </c>
      <c r="K61" s="234"/>
      <c r="L61" s="234"/>
      <c r="M61" s="234"/>
      <c r="N61" s="234"/>
      <c r="O61" s="234"/>
      <c r="P61" s="234"/>
      <c r="Q61" s="234"/>
      <c r="R61" s="234"/>
    </row>
    <row r="62" spans="1:18" s="235" customFormat="1" ht="15">
      <c r="A62" s="280"/>
      <c r="B62" s="289">
        <v>72</v>
      </c>
      <c r="C62" s="568"/>
      <c r="D62" s="569" t="s">
        <v>106</v>
      </c>
      <c r="E62" s="287">
        <f>SUM(E63,E65)</f>
        <v>0</v>
      </c>
      <c r="F62" s="287">
        <f>SUM(F63,F65)</f>
        <v>0</v>
      </c>
      <c r="G62" s="287">
        <f>SUM(G63,G65)</f>
        <v>1000</v>
      </c>
      <c r="H62" s="287">
        <f>SUM(H63,H65)</f>
        <v>3892.2</v>
      </c>
      <c r="I62" s="602"/>
      <c r="J62" s="602">
        <f>H62/G62*100</f>
        <v>389.21999999999997</v>
      </c>
      <c r="K62" s="234"/>
      <c r="L62" s="234"/>
      <c r="M62" s="234"/>
      <c r="N62" s="234"/>
      <c r="O62" s="234"/>
      <c r="P62" s="234"/>
      <c r="Q62" s="234"/>
      <c r="R62" s="234"/>
    </row>
    <row r="63" spans="1:18" s="236" customFormat="1" ht="15">
      <c r="A63" s="280"/>
      <c r="B63" s="280">
        <v>721</v>
      </c>
      <c r="C63" s="572"/>
      <c r="D63" s="573" t="s">
        <v>107</v>
      </c>
      <c r="E63" s="270">
        <f>SUM(E64)</f>
        <v>0</v>
      </c>
      <c r="F63" s="270">
        <f>SUM(F64)</f>
        <v>0</v>
      </c>
      <c r="G63" s="270">
        <f>SUM(G64)</f>
        <v>0</v>
      </c>
      <c r="H63" s="270">
        <f>SUM(H64)</f>
        <v>0</v>
      </c>
      <c r="I63" s="605"/>
      <c r="J63" s="605"/>
      <c r="K63" s="246"/>
      <c r="L63" s="246"/>
      <c r="M63" s="246"/>
      <c r="N63" s="246"/>
      <c r="O63" s="246"/>
      <c r="P63" s="246"/>
      <c r="Q63" s="246"/>
      <c r="R63" s="246"/>
    </row>
    <row r="64" spans="1:18" s="235" customFormat="1" ht="15">
      <c r="A64" s="280"/>
      <c r="B64" s="278">
        <v>7211</v>
      </c>
      <c r="C64" s="599"/>
      <c r="D64" s="575" t="s">
        <v>108</v>
      </c>
      <c r="E64" s="272"/>
      <c r="F64" s="272"/>
      <c r="G64" s="272"/>
      <c r="H64" s="317"/>
      <c r="I64" s="605"/>
      <c r="J64" s="605"/>
      <c r="K64" s="234"/>
      <c r="L64" s="234"/>
      <c r="M64" s="234"/>
      <c r="N64" s="234"/>
      <c r="O64" s="234"/>
      <c r="P64" s="234"/>
      <c r="Q64" s="234"/>
      <c r="R64" s="234"/>
    </row>
    <row r="65" spans="1:18" s="236" customFormat="1" ht="15">
      <c r="A65" s="615"/>
      <c r="B65" s="615">
        <v>723</v>
      </c>
      <c r="C65" s="616"/>
      <c r="D65" s="617" t="s">
        <v>109</v>
      </c>
      <c r="E65" s="618">
        <v>0</v>
      </c>
      <c r="F65" s="618">
        <v>0</v>
      </c>
      <c r="G65" s="618">
        <f>G66</f>
        <v>1000</v>
      </c>
      <c r="H65" s="618">
        <f>H66</f>
        <v>3892.2</v>
      </c>
      <c r="I65" s="632"/>
      <c r="J65" s="632"/>
      <c r="K65" s="246"/>
      <c r="L65" s="246"/>
      <c r="M65" s="246"/>
      <c r="N65" s="246"/>
      <c r="O65" s="246"/>
      <c r="P65" s="246"/>
      <c r="Q65" s="246"/>
      <c r="R65" s="246"/>
    </row>
    <row r="66" spans="1:18" s="236" customFormat="1" ht="15">
      <c r="A66" s="615"/>
      <c r="B66" s="619">
        <v>7231</v>
      </c>
      <c r="C66" s="620"/>
      <c r="D66" s="621" t="s">
        <v>110</v>
      </c>
      <c r="E66" s="622"/>
      <c r="F66" s="622"/>
      <c r="G66" s="622">
        <v>1000</v>
      </c>
      <c r="H66" s="622">
        <v>3892.2</v>
      </c>
      <c r="I66" s="633"/>
      <c r="J66" s="633"/>
      <c r="K66" s="246"/>
      <c r="L66" s="246"/>
      <c r="M66" s="246"/>
      <c r="N66" s="246"/>
      <c r="O66" s="246"/>
      <c r="P66" s="246"/>
      <c r="Q66" s="246"/>
      <c r="R66" s="246"/>
    </row>
    <row r="67" spans="1:18" s="236" customFormat="1" ht="15">
      <c r="A67" s="615"/>
      <c r="B67" s="619"/>
      <c r="C67" s="594">
        <v>71</v>
      </c>
      <c r="D67" s="595" t="s">
        <v>104</v>
      </c>
      <c r="E67" s="415">
        <f>SUM(E53)</f>
        <v>0</v>
      </c>
      <c r="F67" s="415">
        <f>SUM(F53)</f>
        <v>0</v>
      </c>
      <c r="G67" s="415">
        <f>G61</f>
        <v>1000</v>
      </c>
      <c r="H67" s="415">
        <f>H61</f>
        <v>3892.2</v>
      </c>
      <c r="I67" s="634"/>
      <c r="J67" s="635">
        <f>H67/G67*100</f>
        <v>389.21999999999997</v>
      </c>
      <c r="K67" s="246"/>
      <c r="L67" s="246"/>
      <c r="M67" s="246"/>
      <c r="N67" s="246"/>
      <c r="O67" s="246"/>
      <c r="P67" s="246"/>
      <c r="Q67" s="246"/>
      <c r="R67" s="246"/>
    </row>
    <row r="68" spans="1:18" s="236" customFormat="1" ht="30">
      <c r="A68" s="615"/>
      <c r="B68" s="265">
        <v>63</v>
      </c>
      <c r="C68" s="559"/>
      <c r="D68" s="560" t="s">
        <v>45</v>
      </c>
      <c r="E68" s="268">
        <f>E69</f>
        <v>0</v>
      </c>
      <c r="F68" s="268">
        <f>F69</f>
        <v>2654.46</v>
      </c>
      <c r="G68" s="268">
        <f>G69</f>
        <v>0</v>
      </c>
      <c r="H68" s="268">
        <f>H69</f>
        <v>0</v>
      </c>
      <c r="I68" s="602"/>
      <c r="J68" s="602"/>
      <c r="K68" s="246"/>
      <c r="L68" s="246"/>
      <c r="M68" s="246"/>
      <c r="N68" s="246"/>
      <c r="O68" s="246"/>
      <c r="P68" s="246"/>
      <c r="Q68" s="246"/>
      <c r="R68" s="246"/>
    </row>
    <row r="69" spans="1:18" s="236" customFormat="1" ht="15">
      <c r="A69" s="615"/>
      <c r="B69" s="310" t="s">
        <v>46</v>
      </c>
      <c r="C69" s="561"/>
      <c r="D69" s="562" t="s">
        <v>47</v>
      </c>
      <c r="E69" s="313">
        <v>0</v>
      </c>
      <c r="F69" s="313">
        <f>F70</f>
        <v>2654.46</v>
      </c>
      <c r="G69" s="313">
        <f>G70</f>
        <v>0</v>
      </c>
      <c r="H69" s="313">
        <f>H70</f>
        <v>0</v>
      </c>
      <c r="I69" s="603"/>
      <c r="J69" s="603"/>
      <c r="K69" s="246"/>
      <c r="L69" s="246"/>
      <c r="M69" s="246"/>
      <c r="N69" s="246"/>
      <c r="O69" s="246"/>
      <c r="P69" s="246"/>
      <c r="Q69" s="246"/>
      <c r="R69" s="246"/>
    </row>
    <row r="70" spans="1:18" s="236" customFormat="1" ht="15">
      <c r="A70" s="615"/>
      <c r="B70" s="314" t="s">
        <v>48</v>
      </c>
      <c r="C70" s="563"/>
      <c r="D70" s="564" t="s">
        <v>49</v>
      </c>
      <c r="E70" s="317">
        <v>0</v>
      </c>
      <c r="F70" s="317">
        <v>2654.46</v>
      </c>
      <c r="G70" s="317">
        <v>0</v>
      </c>
      <c r="H70" s="317"/>
      <c r="I70" s="604"/>
      <c r="J70" s="604"/>
      <c r="K70" s="246"/>
      <c r="L70" s="246"/>
      <c r="M70" s="246"/>
      <c r="N70" s="246"/>
      <c r="O70" s="246"/>
      <c r="P70" s="246"/>
      <c r="Q70" s="246"/>
      <c r="R70" s="246"/>
    </row>
    <row r="71" spans="1:18" s="236" customFormat="1" ht="30">
      <c r="A71" s="615"/>
      <c r="B71" s="265" t="s">
        <v>111</v>
      </c>
      <c r="C71" s="559"/>
      <c r="D71" s="560" t="s">
        <v>45</v>
      </c>
      <c r="E71" s="268">
        <f>E72</f>
        <v>445702.03</v>
      </c>
      <c r="F71" s="268">
        <f>F72</f>
        <v>512063.44</v>
      </c>
      <c r="G71" s="268">
        <f>G72</f>
        <v>514263.43999999994</v>
      </c>
      <c r="H71" s="268">
        <f>H72</f>
        <v>514263.43999999994</v>
      </c>
      <c r="I71" s="602">
        <f>SUM(H71/E71*100)</f>
        <v>115.38279060564294</v>
      </c>
      <c r="J71" s="602">
        <f>SUM(H71/G71*100)</f>
        <v>100</v>
      </c>
      <c r="K71" s="246"/>
      <c r="L71" s="246"/>
      <c r="M71" s="246"/>
      <c r="N71" s="246"/>
      <c r="O71" s="246"/>
      <c r="P71" s="246"/>
      <c r="Q71" s="246"/>
      <c r="R71" s="246"/>
    </row>
    <row r="72" spans="1:18" s="236" customFormat="1" ht="30">
      <c r="A72" s="615"/>
      <c r="B72" s="615">
        <v>671</v>
      </c>
      <c r="C72" s="616"/>
      <c r="D72" s="617" t="s">
        <v>112</v>
      </c>
      <c r="E72" s="618">
        <f>E73+E74</f>
        <v>445702.03</v>
      </c>
      <c r="F72" s="618">
        <f>F73+F74</f>
        <v>512063.44</v>
      </c>
      <c r="G72" s="618">
        <f>G73+G74</f>
        <v>514263.43999999994</v>
      </c>
      <c r="H72" s="618">
        <f>H73+H74</f>
        <v>514263.43999999994</v>
      </c>
      <c r="I72" s="632"/>
      <c r="J72" s="632"/>
      <c r="K72" s="246"/>
      <c r="L72" s="246"/>
      <c r="M72" s="246"/>
      <c r="N72" s="246"/>
      <c r="O72" s="246"/>
      <c r="P72" s="246"/>
      <c r="Q72" s="246"/>
      <c r="R72" s="246"/>
    </row>
    <row r="73" spans="1:18" s="236" customFormat="1" ht="30">
      <c r="A73" s="615"/>
      <c r="B73" s="619">
        <v>6711</v>
      </c>
      <c r="C73" s="620"/>
      <c r="D73" s="621" t="s">
        <v>113</v>
      </c>
      <c r="E73" s="622">
        <v>133282.63</v>
      </c>
      <c r="F73" s="622">
        <v>372063.44</v>
      </c>
      <c r="G73" s="622">
        <v>129904.53</v>
      </c>
      <c r="H73" s="622">
        <v>132104.53</v>
      </c>
      <c r="I73" s="633"/>
      <c r="J73" s="633"/>
      <c r="K73" s="246"/>
      <c r="L73" s="246"/>
      <c r="M73" s="246"/>
      <c r="N73" s="246"/>
      <c r="O73" s="246"/>
      <c r="P73" s="246"/>
      <c r="Q73" s="246"/>
      <c r="R73" s="246"/>
    </row>
    <row r="74" spans="1:18" s="236" customFormat="1" ht="30">
      <c r="A74" s="615"/>
      <c r="B74" s="619">
        <v>6712</v>
      </c>
      <c r="C74" s="620"/>
      <c r="D74" s="621" t="s">
        <v>114</v>
      </c>
      <c r="E74" s="622">
        <v>312419.4</v>
      </c>
      <c r="F74" s="622">
        <v>140000</v>
      </c>
      <c r="G74" s="622">
        <v>384358.91</v>
      </c>
      <c r="H74" s="622">
        <v>382158.91</v>
      </c>
      <c r="I74" s="633"/>
      <c r="J74" s="633"/>
      <c r="K74" s="246"/>
      <c r="L74" s="246"/>
      <c r="M74" s="246"/>
      <c r="N74" s="246"/>
      <c r="O74" s="246"/>
      <c r="P74" s="246"/>
      <c r="Q74" s="246"/>
      <c r="R74" s="246"/>
    </row>
    <row r="75" spans="1:18" s="235" customFormat="1" ht="15">
      <c r="A75" s="615"/>
      <c r="B75" s="615"/>
      <c r="C75" s="594">
        <v>11</v>
      </c>
      <c r="D75" s="595" t="s">
        <v>115</v>
      </c>
      <c r="E75" s="415">
        <f>E71</f>
        <v>445702.03</v>
      </c>
      <c r="F75" s="415">
        <f>F68+F71</f>
        <v>514717.9</v>
      </c>
      <c r="G75" s="415">
        <f>G71</f>
        <v>514263.43999999994</v>
      </c>
      <c r="H75" s="415">
        <f>H72</f>
        <v>514263.43999999994</v>
      </c>
      <c r="I75" s="634">
        <f>SUM(H75/E75*100)</f>
        <v>115.38279060564294</v>
      </c>
      <c r="J75" s="635">
        <f>H75/G75*100</f>
        <v>100</v>
      </c>
      <c r="K75" s="234"/>
      <c r="L75" s="234"/>
      <c r="M75" s="234"/>
      <c r="N75" s="234"/>
      <c r="O75" s="234"/>
      <c r="P75" s="234"/>
      <c r="Q75" s="234"/>
      <c r="R75" s="234"/>
    </row>
    <row r="76" spans="1:18" s="550" customFormat="1" ht="15.75">
      <c r="A76" s="717" t="s">
        <v>116</v>
      </c>
      <c r="B76" s="718"/>
      <c r="C76" s="718"/>
      <c r="D76" s="719"/>
      <c r="E76" s="623">
        <f>E22+E35+E51+E56+E60+E67+E75</f>
        <v>8994164.53</v>
      </c>
      <c r="F76" s="623">
        <f>F22+F35+F51+F56+F60+F67+F75</f>
        <v>8179592.8100000005</v>
      </c>
      <c r="G76" s="623">
        <f>G22+G35+G51+G56+G60+G67+G75</f>
        <v>9447273.44</v>
      </c>
      <c r="H76" s="623">
        <f>H8+H61</f>
        <v>9495820.829999998</v>
      </c>
      <c r="I76" s="438">
        <f>H76/E76*100</f>
        <v>105.5775753081537</v>
      </c>
      <c r="J76" s="636">
        <f>H76/G76*100</f>
        <v>100.51387726107777</v>
      </c>
      <c r="K76" s="551"/>
      <c r="L76" s="551"/>
      <c r="M76" s="551"/>
      <c r="N76" s="551"/>
      <c r="O76" s="551"/>
      <c r="P76" s="551"/>
      <c r="Q76" s="551"/>
      <c r="R76" s="551"/>
    </row>
    <row r="77" spans="1:18" s="550" customFormat="1" ht="15.75" hidden="1">
      <c r="A77" s="624"/>
      <c r="B77" s="624"/>
      <c r="C77" s="624"/>
      <c r="D77" s="624"/>
      <c r="E77" s="625"/>
      <c r="F77" s="625"/>
      <c r="G77" s="626"/>
      <c r="H77" s="627"/>
      <c r="I77" s="637"/>
      <c r="J77" s="637"/>
      <c r="K77" s="551"/>
      <c r="L77" s="551"/>
      <c r="M77" s="551"/>
      <c r="N77" s="551"/>
      <c r="O77" s="551"/>
      <c r="P77" s="551"/>
      <c r="Q77" s="551"/>
      <c r="R77" s="551"/>
    </row>
    <row r="78" spans="1:18" s="235" customFormat="1" ht="15">
      <c r="A78" s="250"/>
      <c r="B78" s="250"/>
      <c r="C78" s="250"/>
      <c r="D78" s="250"/>
      <c r="E78" s="250"/>
      <c r="F78" s="628"/>
      <c r="G78" s="629"/>
      <c r="H78" s="630"/>
      <c r="I78" s="234"/>
      <c r="J78" s="234"/>
      <c r="K78" s="234"/>
      <c r="L78" s="234"/>
      <c r="M78" s="234"/>
      <c r="N78" s="234"/>
      <c r="O78" s="234"/>
      <c r="P78" s="234"/>
      <c r="Q78" s="234"/>
      <c r="R78" s="234"/>
    </row>
    <row r="79" spans="1:18" s="235" customFormat="1" ht="15">
      <c r="A79" s="250"/>
      <c r="B79" s="250"/>
      <c r="C79" s="250"/>
      <c r="D79" s="250"/>
      <c r="E79" s="250"/>
      <c r="F79" s="628"/>
      <c r="G79" s="629"/>
      <c r="H79" s="629"/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1:18" s="235" customFormat="1" ht="15">
      <c r="A80" s="250"/>
      <c r="B80" s="250"/>
      <c r="C80" s="250"/>
      <c r="D80" s="250"/>
      <c r="E80" s="250"/>
      <c r="F80" s="628"/>
      <c r="G80" s="629"/>
      <c r="H80" s="629"/>
      <c r="I80" s="234"/>
      <c r="J80" s="234"/>
      <c r="K80" s="234"/>
      <c r="L80" s="234"/>
      <c r="M80" s="234"/>
      <c r="N80" s="234"/>
      <c r="O80" s="234"/>
      <c r="P80" s="234"/>
      <c r="Q80" s="234"/>
      <c r="R80" s="234"/>
    </row>
    <row r="81" spans="1:18" s="235" customFormat="1" ht="15">
      <c r="A81" s="243"/>
      <c r="B81" s="250"/>
      <c r="C81" s="250"/>
      <c r="D81" s="250"/>
      <c r="E81" s="250"/>
      <c r="F81" s="251"/>
      <c r="G81" s="250"/>
      <c r="H81" s="250"/>
      <c r="I81" s="234"/>
      <c r="J81" s="234"/>
      <c r="K81" s="234"/>
      <c r="L81" s="234"/>
      <c r="M81" s="234"/>
      <c r="N81" s="234"/>
      <c r="O81" s="234"/>
      <c r="P81" s="234"/>
      <c r="Q81" s="234"/>
      <c r="R81" s="234"/>
    </row>
    <row r="82" spans="1:18" s="236" customFormat="1" ht="15.75" customHeight="1" hidden="1">
      <c r="A82" s="714" t="s">
        <v>117</v>
      </c>
      <c r="B82" s="715"/>
      <c r="C82" s="715"/>
      <c r="D82" s="715"/>
      <c r="E82" s="715"/>
      <c r="F82" s="715"/>
      <c r="G82" s="715"/>
      <c r="H82" s="715"/>
      <c r="I82" s="715"/>
      <c r="J82" s="715"/>
      <c r="K82" s="246"/>
      <c r="L82" s="246"/>
      <c r="M82" s="246"/>
      <c r="N82" s="246"/>
      <c r="O82" s="246"/>
      <c r="P82" s="246"/>
      <c r="Q82" s="246"/>
      <c r="R82" s="246"/>
    </row>
    <row r="83" spans="1:18" s="235" customFormat="1" ht="60" hidden="1">
      <c r="A83" s="201" t="s">
        <v>33</v>
      </c>
      <c r="B83" s="201" t="s">
        <v>34</v>
      </c>
      <c r="C83" s="252" t="s">
        <v>35</v>
      </c>
      <c r="D83" s="253" t="s">
        <v>36</v>
      </c>
      <c r="E83" s="254" t="s">
        <v>118</v>
      </c>
      <c r="F83" s="254" t="s">
        <v>119</v>
      </c>
      <c r="G83" s="134" t="s">
        <v>39</v>
      </c>
      <c r="H83" s="256" t="s">
        <v>120</v>
      </c>
      <c r="I83" s="600" t="s">
        <v>41</v>
      </c>
      <c r="J83" s="600" t="s">
        <v>41</v>
      </c>
      <c r="K83" s="234"/>
      <c r="L83" s="234"/>
      <c r="M83" s="234"/>
      <c r="N83" s="234"/>
      <c r="O83" s="234"/>
      <c r="P83" s="234"/>
      <c r="Q83" s="234"/>
      <c r="R83" s="234"/>
    </row>
    <row r="84" spans="1:18" s="235" customFormat="1" ht="15" hidden="1">
      <c r="A84" s="716">
        <v>1</v>
      </c>
      <c r="B84" s="716"/>
      <c r="C84" s="716"/>
      <c r="D84" s="716"/>
      <c r="E84" s="257"/>
      <c r="F84" s="631">
        <v>2</v>
      </c>
      <c r="G84" s="259">
        <v>3</v>
      </c>
      <c r="H84" s="259">
        <v>4</v>
      </c>
      <c r="I84" s="297" t="s">
        <v>42</v>
      </c>
      <c r="J84" s="298" t="s">
        <v>43</v>
      </c>
      <c r="K84" s="234"/>
      <c r="L84" s="234"/>
      <c r="M84" s="234"/>
      <c r="N84" s="234"/>
      <c r="O84" s="234"/>
      <c r="P84" s="234"/>
      <c r="Q84" s="234"/>
      <c r="R84" s="234"/>
    </row>
    <row r="85" spans="1:18" s="235" customFormat="1" ht="15" hidden="1">
      <c r="A85" s="260" t="s">
        <v>121</v>
      </c>
      <c r="B85" s="260"/>
      <c r="C85" s="261"/>
      <c r="D85" s="262" t="s">
        <v>122</v>
      </c>
      <c r="E85" s="263">
        <f>E86+E96+E129+E134+E138+E141</f>
        <v>0</v>
      </c>
      <c r="F85" s="263">
        <f>F86+F96+F129+F134+F138+F141</f>
        <v>0</v>
      </c>
      <c r="G85" s="263">
        <f>G86+G96+G129+G134+G138+G141</f>
        <v>59190450.60999999</v>
      </c>
      <c r="H85" s="263">
        <f>H86+H96+H129+H138+H141</f>
        <v>0</v>
      </c>
      <c r="I85" s="299" t="e">
        <f>SUM(H85/E85*100)</f>
        <v>#DIV/0!</v>
      </c>
      <c r="J85" s="299">
        <f>SUM(H85/G85*100)</f>
        <v>0</v>
      </c>
      <c r="K85" s="234"/>
      <c r="L85" s="234"/>
      <c r="M85" s="234"/>
      <c r="N85" s="234"/>
      <c r="O85" s="234"/>
      <c r="P85" s="234"/>
      <c r="Q85" s="234"/>
      <c r="R85" s="234"/>
    </row>
    <row r="86" spans="1:18" s="235" customFormat="1" ht="15" hidden="1">
      <c r="A86" s="264"/>
      <c r="B86" s="265">
        <v>31</v>
      </c>
      <c r="C86" s="266"/>
      <c r="D86" s="267" t="s">
        <v>123</v>
      </c>
      <c r="E86" s="268">
        <f>E87+E92+E94</f>
        <v>0</v>
      </c>
      <c r="F86" s="268">
        <f>F87+F92+F94</f>
        <v>0</v>
      </c>
      <c r="G86" s="268">
        <f>G87+G92+G94</f>
        <v>38266104.47</v>
      </c>
      <c r="H86" s="268">
        <f>H87+H92+H94</f>
        <v>0</v>
      </c>
      <c r="I86" s="301" t="e">
        <f>SUM(H86/E86*100)</f>
        <v>#DIV/0!</v>
      </c>
      <c r="J86" s="301">
        <f>SUM(H86/G86*100)</f>
        <v>0</v>
      </c>
      <c r="K86" s="234"/>
      <c r="L86" s="234"/>
      <c r="M86" s="234"/>
      <c r="N86" s="234"/>
      <c r="O86" s="234"/>
      <c r="P86" s="234"/>
      <c r="Q86" s="234"/>
      <c r="R86" s="234"/>
    </row>
    <row r="87" spans="1:18" s="236" customFormat="1" ht="15" hidden="1">
      <c r="A87" s="264"/>
      <c r="B87" s="269">
        <v>311</v>
      </c>
      <c r="C87" s="89"/>
      <c r="D87" s="264" t="s">
        <v>124</v>
      </c>
      <c r="E87" s="270">
        <f>SUM(E88:E91)</f>
        <v>0</v>
      </c>
      <c r="F87" s="270">
        <f>SUM(F88:F91)</f>
        <v>0</v>
      </c>
      <c r="G87" s="270">
        <f>SUM(G88:G91)</f>
        <v>31479072.16</v>
      </c>
      <c r="H87" s="270">
        <f>SUM(H88:H91)</f>
        <v>0</v>
      </c>
      <c r="I87" s="302"/>
      <c r="J87" s="302"/>
      <c r="K87" s="246"/>
      <c r="L87" s="246"/>
      <c r="M87" s="246"/>
      <c r="N87" s="246"/>
      <c r="O87" s="246"/>
      <c r="P87" s="246"/>
      <c r="Q87" s="246"/>
      <c r="R87" s="246"/>
    </row>
    <row r="88" spans="1:18" s="237" customFormat="1" ht="15" hidden="1">
      <c r="A88" s="89"/>
      <c r="B88" s="271">
        <v>3111</v>
      </c>
      <c r="C88" s="89"/>
      <c r="D88" s="89" t="s">
        <v>125</v>
      </c>
      <c r="E88" s="272">
        <f>F88/7.5345</f>
        <v>0</v>
      </c>
      <c r="F88" s="272"/>
      <c r="G88" s="272">
        <v>26934798.88</v>
      </c>
      <c r="H88" s="272"/>
      <c r="I88" s="302"/>
      <c r="J88" s="304"/>
      <c r="K88" s="303"/>
      <c r="L88" s="303"/>
      <c r="M88" s="303"/>
      <c r="N88" s="303"/>
      <c r="O88" s="303"/>
      <c r="P88" s="303"/>
      <c r="Q88" s="303"/>
      <c r="R88" s="303"/>
    </row>
    <row r="89" spans="1:18" s="237" customFormat="1" ht="15" hidden="1">
      <c r="A89" s="89"/>
      <c r="B89" s="271" t="s">
        <v>126</v>
      </c>
      <c r="C89" s="89"/>
      <c r="D89" s="89" t="s">
        <v>127</v>
      </c>
      <c r="E89" s="272">
        <f>F89/7.5345</f>
        <v>0</v>
      </c>
      <c r="F89" s="272"/>
      <c r="G89" s="272">
        <v>0</v>
      </c>
      <c r="H89" s="272">
        <v>0</v>
      </c>
      <c r="I89" s="302"/>
      <c r="J89" s="304"/>
      <c r="K89" s="303"/>
      <c r="L89" s="303"/>
      <c r="M89" s="303"/>
      <c r="N89" s="303"/>
      <c r="O89" s="303"/>
      <c r="P89" s="303"/>
      <c r="Q89" s="303"/>
      <c r="R89" s="303"/>
    </row>
    <row r="90" spans="1:18" s="237" customFormat="1" ht="15" hidden="1">
      <c r="A90" s="89"/>
      <c r="B90" s="271" t="s">
        <v>128</v>
      </c>
      <c r="C90" s="89"/>
      <c r="D90" s="89" t="s">
        <v>129</v>
      </c>
      <c r="E90" s="272">
        <f>F90/7.5345</f>
        <v>0</v>
      </c>
      <c r="F90" s="272"/>
      <c r="G90" s="272">
        <v>2081601.57</v>
      </c>
      <c r="H90" s="272">
        <v>0</v>
      </c>
      <c r="I90" s="304"/>
      <c r="J90" s="304"/>
      <c r="K90" s="303"/>
      <c r="L90" s="303"/>
      <c r="M90" s="303"/>
      <c r="N90" s="303"/>
      <c r="O90" s="303"/>
      <c r="P90" s="303"/>
      <c r="Q90" s="303"/>
      <c r="R90" s="303"/>
    </row>
    <row r="91" spans="1:18" s="237" customFormat="1" ht="15" hidden="1">
      <c r="A91" s="89"/>
      <c r="B91" s="271" t="s">
        <v>130</v>
      </c>
      <c r="C91" s="89"/>
      <c r="D91" s="89" t="s">
        <v>131</v>
      </c>
      <c r="E91" s="272">
        <f>F91/7.5345</f>
        <v>0</v>
      </c>
      <c r="F91" s="272"/>
      <c r="G91" s="272">
        <v>2462671.71</v>
      </c>
      <c r="H91" s="272">
        <v>0</v>
      </c>
      <c r="I91" s="304"/>
      <c r="J91" s="304"/>
      <c r="K91" s="303"/>
      <c r="L91" s="303"/>
      <c r="M91" s="303"/>
      <c r="N91" s="303"/>
      <c r="O91" s="303"/>
      <c r="P91" s="303"/>
      <c r="Q91" s="303"/>
      <c r="R91" s="303"/>
    </row>
    <row r="92" spans="1:18" s="238" customFormat="1" ht="15" hidden="1">
      <c r="A92" s="264"/>
      <c r="B92" s="269" t="s">
        <v>132</v>
      </c>
      <c r="C92" s="264"/>
      <c r="D92" s="264" t="s">
        <v>133</v>
      </c>
      <c r="E92" s="270">
        <f>SUM(E93)</f>
        <v>0</v>
      </c>
      <c r="F92" s="270">
        <f>SUM(F93)</f>
        <v>0</v>
      </c>
      <c r="G92" s="270">
        <f>SUM(G93)</f>
        <v>1080214.88</v>
      </c>
      <c r="H92" s="270">
        <f>SUM(H93)</f>
        <v>0</v>
      </c>
      <c r="I92" s="304"/>
      <c r="J92" s="304"/>
      <c r="K92" s="305"/>
      <c r="L92" s="305"/>
      <c r="M92" s="305"/>
      <c r="N92" s="305"/>
      <c r="O92" s="305"/>
      <c r="P92" s="305"/>
      <c r="Q92" s="305"/>
      <c r="R92" s="305"/>
    </row>
    <row r="93" spans="1:18" s="237" customFormat="1" ht="15" hidden="1">
      <c r="A93" s="89"/>
      <c r="B93" s="271" t="s">
        <v>134</v>
      </c>
      <c r="C93" s="89"/>
      <c r="D93" s="89" t="s">
        <v>133</v>
      </c>
      <c r="E93" s="272">
        <f aca="true" t="shared" si="7" ref="E93:E101">F93/7.5345</f>
        <v>0</v>
      </c>
      <c r="F93" s="272"/>
      <c r="G93" s="272">
        <v>1080214.88</v>
      </c>
      <c r="H93" s="272"/>
      <c r="I93" s="304"/>
      <c r="J93" s="304"/>
      <c r="K93" s="303"/>
      <c r="L93" s="303"/>
      <c r="M93" s="303"/>
      <c r="N93" s="303"/>
      <c r="O93" s="303"/>
      <c r="P93" s="303"/>
      <c r="Q93" s="303"/>
      <c r="R93" s="303"/>
    </row>
    <row r="94" spans="1:18" s="237" customFormat="1" ht="15" hidden="1">
      <c r="A94" s="264"/>
      <c r="B94" s="273">
        <v>313</v>
      </c>
      <c r="C94" s="264"/>
      <c r="D94" s="264" t="s">
        <v>135</v>
      </c>
      <c r="E94" s="35">
        <f>SUM(E95:E95)</f>
        <v>0</v>
      </c>
      <c r="F94" s="35">
        <f>SUM(F95:F95)</f>
        <v>0</v>
      </c>
      <c r="G94" s="35">
        <f>SUM(G95:G95)</f>
        <v>5706817.43</v>
      </c>
      <c r="H94" s="35">
        <f>SUM(H95:H95)</f>
        <v>0</v>
      </c>
      <c r="I94" s="302"/>
      <c r="J94" s="638"/>
      <c r="K94" s="303"/>
      <c r="L94" s="303"/>
      <c r="M94" s="303"/>
      <c r="N94" s="303"/>
      <c r="O94" s="303"/>
      <c r="P94" s="303"/>
      <c r="Q94" s="303"/>
      <c r="R94" s="303"/>
    </row>
    <row r="95" spans="1:18" s="235" customFormat="1" ht="15" hidden="1">
      <c r="A95" s="89"/>
      <c r="B95" s="274">
        <v>3132</v>
      </c>
      <c r="C95" s="89"/>
      <c r="D95" s="89" t="s">
        <v>136</v>
      </c>
      <c r="E95" s="272">
        <f t="shared" si="7"/>
        <v>0</v>
      </c>
      <c r="F95" s="37"/>
      <c r="G95" s="37">
        <v>5706817.43</v>
      </c>
      <c r="H95" s="37"/>
      <c r="I95" s="302"/>
      <c r="J95" s="638"/>
      <c r="K95" s="234"/>
      <c r="L95" s="234"/>
      <c r="M95" s="234"/>
      <c r="N95" s="234"/>
      <c r="O95" s="234"/>
      <c r="P95" s="234"/>
      <c r="Q95" s="234"/>
      <c r="R95" s="234"/>
    </row>
    <row r="96" spans="1:18" s="235" customFormat="1" ht="15" hidden="1">
      <c r="A96" s="264"/>
      <c r="B96" s="265">
        <v>32</v>
      </c>
      <c r="C96" s="266"/>
      <c r="D96" s="267" t="s">
        <v>137</v>
      </c>
      <c r="E96" s="268">
        <f>E97+E102+E109+E119+E121</f>
        <v>0</v>
      </c>
      <c r="F96" s="268">
        <f>F97+F102+F109+F119+F121</f>
        <v>0</v>
      </c>
      <c r="G96" s="268">
        <f>G97+G102+G109+G119+G121</f>
        <v>19837046.13</v>
      </c>
      <c r="H96" s="268">
        <f>H97+H102+H109+H119+H121</f>
        <v>0</v>
      </c>
      <c r="I96" s="301" t="e">
        <f>SUM(H96/E96*100)</f>
        <v>#DIV/0!</v>
      </c>
      <c r="J96" s="301">
        <f>SUM(H96/G96*100)</f>
        <v>0</v>
      </c>
      <c r="K96" s="234"/>
      <c r="L96" s="234"/>
      <c r="M96" s="234"/>
      <c r="N96" s="234"/>
      <c r="O96" s="234"/>
      <c r="P96" s="234"/>
      <c r="Q96" s="234"/>
      <c r="R96" s="234"/>
    </row>
    <row r="97" spans="1:18" s="235" customFormat="1" ht="15" hidden="1">
      <c r="A97" s="264"/>
      <c r="B97" s="269">
        <v>321</v>
      </c>
      <c r="C97" s="264"/>
      <c r="D97" s="264" t="s">
        <v>138</v>
      </c>
      <c r="E97" s="270">
        <f>SUM(E98:E101)</f>
        <v>0</v>
      </c>
      <c r="F97" s="270">
        <f>SUM(F98:F101)</f>
        <v>0</v>
      </c>
      <c r="G97" s="270">
        <f>SUM(G98:G101)</f>
        <v>1286916.72</v>
      </c>
      <c r="H97" s="270">
        <f>SUM(H98:H101)</f>
        <v>0</v>
      </c>
      <c r="I97" s="302"/>
      <c r="J97" s="304"/>
      <c r="K97" s="234"/>
      <c r="L97" s="234"/>
      <c r="M97" s="234"/>
      <c r="N97" s="234"/>
      <c r="O97" s="234"/>
      <c r="P97" s="234"/>
      <c r="Q97" s="234"/>
      <c r="R97" s="234"/>
    </row>
    <row r="98" spans="1:18" s="239" customFormat="1" ht="15" hidden="1">
      <c r="A98" s="89"/>
      <c r="B98" s="271" t="s">
        <v>139</v>
      </c>
      <c r="C98" s="89"/>
      <c r="D98" s="89" t="s">
        <v>140</v>
      </c>
      <c r="E98" s="272">
        <f t="shared" si="7"/>
        <v>0</v>
      </c>
      <c r="F98" s="272"/>
      <c r="G98" s="272">
        <v>58092.24</v>
      </c>
      <c r="H98" s="272"/>
      <c r="I98" s="302"/>
      <c r="J98" s="304"/>
      <c r="K98" s="306"/>
      <c r="L98" s="306"/>
      <c r="M98" s="306"/>
      <c r="N98" s="306"/>
      <c r="O98" s="306"/>
      <c r="P98" s="306"/>
      <c r="Q98" s="306"/>
      <c r="R98" s="306"/>
    </row>
    <row r="99" spans="1:18" s="235" customFormat="1" ht="15" hidden="1">
      <c r="A99" s="89"/>
      <c r="B99" s="271" t="s">
        <v>141</v>
      </c>
      <c r="C99" s="89"/>
      <c r="D99" s="275" t="s">
        <v>142</v>
      </c>
      <c r="E99" s="272">
        <f t="shared" si="7"/>
        <v>0</v>
      </c>
      <c r="F99" s="272"/>
      <c r="G99" s="272">
        <v>1157835.7</v>
      </c>
      <c r="H99" s="272"/>
      <c r="I99" s="302"/>
      <c r="J99" s="304"/>
      <c r="K99" s="307"/>
      <c r="L99" s="307"/>
      <c r="M99" s="307"/>
      <c r="N99" s="234"/>
      <c r="O99" s="234"/>
      <c r="P99" s="234"/>
      <c r="Q99" s="234"/>
      <c r="R99" s="234"/>
    </row>
    <row r="100" spans="1:18" s="235" customFormat="1" ht="15" hidden="1">
      <c r="A100" s="89"/>
      <c r="B100" s="271" t="s">
        <v>143</v>
      </c>
      <c r="C100" s="89"/>
      <c r="D100" s="275" t="s">
        <v>144</v>
      </c>
      <c r="E100" s="272">
        <f t="shared" si="7"/>
        <v>0</v>
      </c>
      <c r="F100" s="272"/>
      <c r="G100" s="272">
        <v>68599.77</v>
      </c>
      <c r="H100" s="272"/>
      <c r="I100" s="302"/>
      <c r="J100" s="304"/>
      <c r="K100" s="234"/>
      <c r="L100" s="234"/>
      <c r="M100" s="234"/>
      <c r="N100" s="234"/>
      <c r="O100" s="234"/>
      <c r="P100" s="234"/>
      <c r="Q100" s="234"/>
      <c r="R100" s="234"/>
    </row>
    <row r="101" spans="1:18" s="235" customFormat="1" ht="15" hidden="1">
      <c r="A101" s="89"/>
      <c r="B101" s="271" t="s">
        <v>145</v>
      </c>
      <c r="C101" s="89"/>
      <c r="D101" s="275" t="s">
        <v>146</v>
      </c>
      <c r="E101" s="272">
        <f t="shared" si="7"/>
        <v>0</v>
      </c>
      <c r="F101" s="272"/>
      <c r="G101" s="272">
        <v>2389.01</v>
      </c>
      <c r="H101" s="272">
        <v>0</v>
      </c>
      <c r="I101" s="302"/>
      <c r="J101" s="304"/>
      <c r="K101" s="234"/>
      <c r="L101" s="234"/>
      <c r="M101" s="234"/>
      <c r="N101" s="234"/>
      <c r="O101" s="234"/>
      <c r="P101" s="234"/>
      <c r="Q101" s="234"/>
      <c r="R101" s="234"/>
    </row>
    <row r="102" spans="1:18" s="236" customFormat="1" ht="15" hidden="1">
      <c r="A102" s="264"/>
      <c r="B102" s="269" t="s">
        <v>147</v>
      </c>
      <c r="C102" s="264"/>
      <c r="D102" s="276" t="s">
        <v>148</v>
      </c>
      <c r="E102" s="270">
        <f>SUM(E103:E108)</f>
        <v>0</v>
      </c>
      <c r="F102" s="270">
        <f>SUM(F103:F108)</f>
        <v>0</v>
      </c>
      <c r="G102" s="270">
        <f>SUM(G103:G108)</f>
        <v>14671871.55</v>
      </c>
      <c r="H102" s="270">
        <f>SUM(H103:H108)</f>
        <v>0</v>
      </c>
      <c r="I102" s="302"/>
      <c r="J102" s="304"/>
      <c r="K102" s="246"/>
      <c r="L102" s="246"/>
      <c r="M102" s="246"/>
      <c r="N102" s="246"/>
      <c r="O102" s="246"/>
      <c r="P102" s="246"/>
      <c r="Q102" s="246"/>
      <c r="R102" s="246"/>
    </row>
    <row r="103" spans="1:18" s="236" customFormat="1" ht="15" hidden="1">
      <c r="A103" s="264"/>
      <c r="B103" s="271" t="s">
        <v>149</v>
      </c>
      <c r="C103" s="264"/>
      <c r="D103" s="89" t="s">
        <v>150</v>
      </c>
      <c r="E103" s="272">
        <f aca="true" t="shared" si="8" ref="E103:E108">F103/7.5345</f>
        <v>0</v>
      </c>
      <c r="F103" s="272"/>
      <c r="G103" s="272">
        <v>491365.97</v>
      </c>
      <c r="H103" s="272"/>
      <c r="I103" s="302"/>
      <c r="J103" s="304"/>
      <c r="K103" s="246"/>
      <c r="L103" s="246"/>
      <c r="M103" s="246"/>
      <c r="N103" s="246"/>
      <c r="O103" s="246"/>
      <c r="P103" s="246"/>
      <c r="Q103" s="246"/>
      <c r="R103" s="246"/>
    </row>
    <row r="104" spans="1:18" s="236" customFormat="1" ht="15" hidden="1">
      <c r="A104" s="264"/>
      <c r="B104" s="271" t="s">
        <v>151</v>
      </c>
      <c r="C104" s="264"/>
      <c r="D104" s="89" t="s">
        <v>152</v>
      </c>
      <c r="E104" s="272">
        <f t="shared" si="8"/>
        <v>0</v>
      </c>
      <c r="F104" s="272"/>
      <c r="G104" s="272">
        <v>11982425.03</v>
      </c>
      <c r="H104" s="272"/>
      <c r="I104" s="302"/>
      <c r="J104" s="304"/>
      <c r="K104" s="246"/>
      <c r="L104" s="246"/>
      <c r="M104" s="246"/>
      <c r="N104" s="246"/>
      <c r="O104" s="246"/>
      <c r="P104" s="246"/>
      <c r="Q104" s="246"/>
      <c r="R104" s="246"/>
    </row>
    <row r="105" spans="1:18" s="236" customFormat="1" ht="15" hidden="1">
      <c r="A105" s="264"/>
      <c r="B105" s="271" t="s">
        <v>153</v>
      </c>
      <c r="C105" s="264"/>
      <c r="D105" s="89" t="s">
        <v>154</v>
      </c>
      <c r="E105" s="272">
        <f t="shared" si="8"/>
        <v>0</v>
      </c>
      <c r="F105" s="272"/>
      <c r="G105" s="272">
        <v>1964258.67</v>
      </c>
      <c r="H105" s="272"/>
      <c r="I105" s="302"/>
      <c r="J105" s="304"/>
      <c r="K105" s="246"/>
      <c r="L105" s="246"/>
      <c r="M105" s="246"/>
      <c r="N105" s="246"/>
      <c r="O105" s="246"/>
      <c r="P105" s="246"/>
      <c r="Q105" s="246"/>
      <c r="R105" s="246"/>
    </row>
    <row r="106" spans="1:18" s="236" customFormat="1" ht="15" hidden="1">
      <c r="A106" s="264"/>
      <c r="B106" s="271" t="s">
        <v>155</v>
      </c>
      <c r="C106" s="264"/>
      <c r="D106" s="275" t="s">
        <v>156</v>
      </c>
      <c r="E106" s="272">
        <f t="shared" si="8"/>
        <v>0</v>
      </c>
      <c r="F106" s="272"/>
      <c r="G106" s="272">
        <v>150568.31</v>
      </c>
      <c r="H106" s="272"/>
      <c r="I106" s="302"/>
      <c r="J106" s="304"/>
      <c r="K106" s="246"/>
      <c r="L106" s="246"/>
      <c r="M106" s="246"/>
      <c r="N106" s="246"/>
      <c r="O106" s="246"/>
      <c r="P106" s="246"/>
      <c r="Q106" s="246"/>
      <c r="R106" s="246"/>
    </row>
    <row r="107" spans="1:18" s="236" customFormat="1" ht="15" hidden="1">
      <c r="A107" s="264"/>
      <c r="B107" s="271" t="s">
        <v>157</v>
      </c>
      <c r="C107" s="264"/>
      <c r="D107" s="275" t="s">
        <v>158</v>
      </c>
      <c r="E107" s="272">
        <f t="shared" si="8"/>
        <v>0</v>
      </c>
      <c r="F107" s="272"/>
      <c r="G107" s="272">
        <v>63743.31</v>
      </c>
      <c r="H107" s="272"/>
      <c r="I107" s="302"/>
      <c r="J107" s="304"/>
      <c r="K107" s="246"/>
      <c r="L107" s="246"/>
      <c r="M107" s="246"/>
      <c r="N107" s="246"/>
      <c r="O107" s="246"/>
      <c r="P107" s="246"/>
      <c r="Q107" s="246"/>
      <c r="R107" s="246"/>
    </row>
    <row r="108" spans="1:18" s="236" customFormat="1" ht="15" hidden="1">
      <c r="A108" s="264"/>
      <c r="B108" s="271" t="s">
        <v>159</v>
      </c>
      <c r="C108" s="264"/>
      <c r="D108" s="275" t="s">
        <v>160</v>
      </c>
      <c r="E108" s="272">
        <f t="shared" si="8"/>
        <v>0</v>
      </c>
      <c r="F108" s="272"/>
      <c r="G108" s="272">
        <v>19510.26</v>
      </c>
      <c r="H108" s="272">
        <v>0</v>
      </c>
      <c r="I108" s="302"/>
      <c r="J108" s="304"/>
      <c r="K108" s="246"/>
      <c r="L108" s="246"/>
      <c r="M108" s="246"/>
      <c r="N108" s="246"/>
      <c r="O108" s="246"/>
      <c r="P108" s="246"/>
      <c r="Q108" s="246"/>
      <c r="R108" s="246"/>
    </row>
    <row r="109" spans="1:18" s="236" customFormat="1" ht="15" hidden="1">
      <c r="A109" s="264"/>
      <c r="B109" s="269" t="s">
        <v>161</v>
      </c>
      <c r="C109" s="264"/>
      <c r="D109" s="276" t="s">
        <v>162</v>
      </c>
      <c r="E109" s="270">
        <f>SUM(E110:E118)</f>
        <v>0</v>
      </c>
      <c r="F109" s="270">
        <f>SUM(F110:F118)</f>
        <v>0</v>
      </c>
      <c r="G109" s="270">
        <f>SUM(G110:G118)</f>
        <v>3417555.09</v>
      </c>
      <c r="H109" s="270">
        <f>SUM(H110:H118)</f>
        <v>0</v>
      </c>
      <c r="I109" s="302"/>
      <c r="J109" s="304"/>
      <c r="K109" s="246"/>
      <c r="L109" s="246"/>
      <c r="M109" s="246"/>
      <c r="N109" s="246"/>
      <c r="O109" s="246"/>
      <c r="P109" s="246"/>
      <c r="Q109" s="246"/>
      <c r="R109" s="246"/>
    </row>
    <row r="110" spans="1:18" s="236" customFormat="1" ht="15" hidden="1">
      <c r="A110" s="264"/>
      <c r="B110" s="271" t="s">
        <v>163</v>
      </c>
      <c r="C110" s="264"/>
      <c r="D110" s="275" t="s">
        <v>164</v>
      </c>
      <c r="E110" s="272">
        <f aca="true" t="shared" si="9" ref="E110:E118">F110/7.5345</f>
        <v>0</v>
      </c>
      <c r="F110" s="272"/>
      <c r="G110" s="272">
        <v>186853.41</v>
      </c>
      <c r="H110" s="272"/>
      <c r="I110" s="302"/>
      <c r="J110" s="304"/>
      <c r="K110" s="246"/>
      <c r="M110" s="246"/>
      <c r="N110" s="246"/>
      <c r="O110" s="246"/>
      <c r="P110" s="246"/>
      <c r="Q110" s="246"/>
      <c r="R110" s="246"/>
    </row>
    <row r="111" spans="1:18" s="236" customFormat="1" ht="15" hidden="1">
      <c r="A111" s="264"/>
      <c r="B111" s="271" t="s">
        <v>165</v>
      </c>
      <c r="C111" s="264"/>
      <c r="D111" s="275" t="s">
        <v>166</v>
      </c>
      <c r="E111" s="272">
        <f t="shared" si="9"/>
        <v>0</v>
      </c>
      <c r="F111" s="272"/>
      <c r="G111" s="272">
        <v>307253.31</v>
      </c>
      <c r="H111" s="272"/>
      <c r="I111" s="302"/>
      <c r="J111" s="304"/>
      <c r="K111" s="246"/>
      <c r="L111" s="246"/>
      <c r="M111" s="246"/>
      <c r="N111" s="246"/>
      <c r="O111" s="246"/>
      <c r="P111" s="246"/>
      <c r="Q111" s="246"/>
      <c r="R111" s="246"/>
    </row>
    <row r="112" spans="1:18" s="236" customFormat="1" ht="15" hidden="1">
      <c r="A112" s="264"/>
      <c r="B112" s="271" t="s">
        <v>167</v>
      </c>
      <c r="C112" s="264"/>
      <c r="D112" s="275" t="s">
        <v>168</v>
      </c>
      <c r="E112" s="272">
        <f t="shared" si="9"/>
        <v>0</v>
      </c>
      <c r="F112" s="272"/>
      <c r="G112" s="272">
        <v>25250.65</v>
      </c>
      <c r="H112" s="272"/>
      <c r="I112" s="302"/>
      <c r="J112" s="304"/>
      <c r="K112" s="246"/>
      <c r="L112" s="246"/>
      <c r="M112" s="246"/>
      <c r="N112" s="246"/>
      <c r="O112" s="246"/>
      <c r="P112" s="246"/>
      <c r="Q112" s="246"/>
      <c r="R112" s="246"/>
    </row>
    <row r="113" spans="1:18" s="236" customFormat="1" ht="15" hidden="1">
      <c r="A113" s="264"/>
      <c r="B113" s="277" t="s">
        <v>169</v>
      </c>
      <c r="C113" s="278"/>
      <c r="D113" s="279" t="s">
        <v>170</v>
      </c>
      <c r="E113" s="272">
        <f t="shared" si="9"/>
        <v>0</v>
      </c>
      <c r="F113" s="272"/>
      <c r="G113" s="272">
        <v>772450.32</v>
      </c>
      <c r="H113" s="272"/>
      <c r="I113" s="302"/>
      <c r="J113" s="304"/>
      <c r="K113" s="246"/>
      <c r="L113" s="246"/>
      <c r="M113" s="246"/>
      <c r="N113" s="246"/>
      <c r="O113" s="246"/>
      <c r="P113" s="246"/>
      <c r="Q113" s="246"/>
      <c r="R113" s="246"/>
    </row>
    <row r="114" spans="1:18" s="236" customFormat="1" ht="15" hidden="1">
      <c r="A114" s="264"/>
      <c r="B114" s="277">
        <v>3235</v>
      </c>
      <c r="C114" s="278"/>
      <c r="D114" s="279" t="s">
        <v>171</v>
      </c>
      <c r="E114" s="272">
        <f t="shared" si="9"/>
        <v>0</v>
      </c>
      <c r="F114" s="272"/>
      <c r="G114" s="272">
        <v>122502.08</v>
      </c>
      <c r="H114" s="272"/>
      <c r="I114" s="302"/>
      <c r="J114" s="304"/>
      <c r="K114" s="246"/>
      <c r="L114" s="246"/>
      <c r="M114" s="246"/>
      <c r="N114" s="246"/>
      <c r="O114" s="246"/>
      <c r="P114" s="246"/>
      <c r="Q114" s="246"/>
      <c r="R114" s="246"/>
    </row>
    <row r="115" spans="1:18" s="236" customFormat="1" ht="15" hidden="1">
      <c r="A115" s="264"/>
      <c r="B115" s="277">
        <v>3236</v>
      </c>
      <c r="C115" s="278"/>
      <c r="D115" s="279" t="s">
        <v>172</v>
      </c>
      <c r="E115" s="272">
        <f t="shared" si="9"/>
        <v>0</v>
      </c>
      <c r="F115" s="272"/>
      <c r="G115" s="272">
        <v>677215.88</v>
      </c>
      <c r="H115" s="272"/>
      <c r="I115" s="302"/>
      <c r="J115" s="304"/>
      <c r="K115" s="246"/>
      <c r="L115" s="246"/>
      <c r="M115" s="246"/>
      <c r="N115" s="246"/>
      <c r="O115" s="246"/>
      <c r="P115" s="246"/>
      <c r="Q115" s="246"/>
      <c r="R115" s="246"/>
    </row>
    <row r="116" spans="1:18" s="236" customFormat="1" ht="15" hidden="1">
      <c r="A116" s="264"/>
      <c r="B116" s="277">
        <v>3237</v>
      </c>
      <c r="C116" s="278"/>
      <c r="D116" s="279" t="s">
        <v>173</v>
      </c>
      <c r="E116" s="272">
        <f t="shared" si="9"/>
        <v>0</v>
      </c>
      <c r="F116" s="272"/>
      <c r="G116" s="272">
        <v>771792.81</v>
      </c>
      <c r="H116" s="272"/>
      <c r="I116" s="302"/>
      <c r="J116" s="304"/>
      <c r="K116" s="246"/>
      <c r="L116" s="246"/>
      <c r="M116" s="246"/>
      <c r="N116" s="246"/>
      <c r="O116" s="246"/>
      <c r="P116" s="246"/>
      <c r="Q116" s="246"/>
      <c r="R116" s="246"/>
    </row>
    <row r="117" spans="1:18" s="236" customFormat="1" ht="15" hidden="1">
      <c r="A117" s="264"/>
      <c r="B117" s="277" t="s">
        <v>174</v>
      </c>
      <c r="C117" s="278"/>
      <c r="D117" s="279" t="s">
        <v>175</v>
      </c>
      <c r="E117" s="272">
        <f t="shared" si="9"/>
        <v>0</v>
      </c>
      <c r="F117" s="272"/>
      <c r="G117" s="272">
        <v>194855.26</v>
      </c>
      <c r="H117" s="272"/>
      <c r="I117" s="302"/>
      <c r="J117" s="304"/>
      <c r="K117" s="246"/>
      <c r="L117" s="246"/>
      <c r="M117" s="246"/>
      <c r="N117" s="246"/>
      <c r="O117" s="246"/>
      <c r="P117" s="246"/>
      <c r="Q117" s="246"/>
      <c r="R117" s="246"/>
    </row>
    <row r="118" spans="1:18" s="235" customFormat="1" ht="15" hidden="1">
      <c r="A118" s="89"/>
      <c r="B118" s="277" t="s">
        <v>176</v>
      </c>
      <c r="C118" s="278"/>
      <c r="D118" s="279" t="s">
        <v>177</v>
      </c>
      <c r="E118" s="272">
        <f t="shared" si="9"/>
        <v>0</v>
      </c>
      <c r="F118" s="272"/>
      <c r="G118" s="272">
        <v>359381.37</v>
      </c>
      <c r="H118" s="272"/>
      <c r="I118" s="302"/>
      <c r="J118" s="304"/>
      <c r="K118" s="234"/>
      <c r="L118" s="234"/>
      <c r="M118" s="234"/>
      <c r="N118" s="234"/>
      <c r="O118" s="234"/>
      <c r="P118" s="234"/>
      <c r="Q118" s="234"/>
      <c r="R118" s="234"/>
    </row>
    <row r="119" spans="1:18" s="235" customFormat="1" ht="15" hidden="1">
      <c r="A119" s="89"/>
      <c r="B119" s="273">
        <v>324</v>
      </c>
      <c r="C119" s="280"/>
      <c r="D119" s="281" t="s">
        <v>178</v>
      </c>
      <c r="E119" s="270">
        <f>SUM(E120)</f>
        <v>0</v>
      </c>
      <c r="F119" s="270">
        <f>SUM(F120)</f>
        <v>0</v>
      </c>
      <c r="G119" s="270">
        <f>SUM(G120)</f>
        <v>17784.86</v>
      </c>
      <c r="H119" s="270">
        <f>SUM(H120)</f>
        <v>0</v>
      </c>
      <c r="I119" s="302"/>
      <c r="J119" s="304"/>
      <c r="K119" s="234"/>
      <c r="L119" s="234"/>
      <c r="M119" s="234"/>
      <c r="N119" s="234"/>
      <c r="O119" s="234"/>
      <c r="P119" s="234"/>
      <c r="Q119" s="234"/>
      <c r="R119" s="234"/>
    </row>
    <row r="120" spans="1:18" s="235" customFormat="1" ht="15" hidden="1">
      <c r="A120" s="89"/>
      <c r="B120" s="274">
        <v>3241</v>
      </c>
      <c r="C120" s="280"/>
      <c r="D120" s="282" t="s">
        <v>178</v>
      </c>
      <c r="E120" s="272">
        <f aca="true" t="shared" si="10" ref="E120:E128">F120/7.5345</f>
        <v>0</v>
      </c>
      <c r="F120" s="272"/>
      <c r="G120" s="272">
        <v>17784.86</v>
      </c>
      <c r="H120" s="272">
        <v>0</v>
      </c>
      <c r="I120" s="302"/>
      <c r="J120" s="304"/>
      <c r="K120" s="234"/>
      <c r="L120" s="234"/>
      <c r="M120" s="234"/>
      <c r="N120" s="234"/>
      <c r="O120" s="234"/>
      <c r="P120" s="234"/>
      <c r="Q120" s="234"/>
      <c r="R120" s="234"/>
    </row>
    <row r="121" spans="1:18" s="235" customFormat="1" ht="15" hidden="1">
      <c r="A121" s="89"/>
      <c r="B121" s="283">
        <v>329</v>
      </c>
      <c r="C121" s="280"/>
      <c r="D121" s="284" t="s">
        <v>179</v>
      </c>
      <c r="E121" s="270">
        <f>SUM(E122:E128)</f>
        <v>0</v>
      </c>
      <c r="F121" s="270">
        <f>SUM(F122:F128)</f>
        <v>0</v>
      </c>
      <c r="G121" s="270">
        <f>SUM(G122:G128)</f>
        <v>442917.91000000003</v>
      </c>
      <c r="H121" s="270">
        <f>SUM(H122:H128)</f>
        <v>0</v>
      </c>
      <c r="I121" s="302"/>
      <c r="J121" s="304"/>
      <c r="K121" s="234"/>
      <c r="L121" s="234"/>
      <c r="M121" s="234"/>
      <c r="N121" s="234"/>
      <c r="O121" s="234"/>
      <c r="P121" s="234"/>
      <c r="Q121" s="234"/>
      <c r="R121" s="234"/>
    </row>
    <row r="122" spans="1:18" s="235" customFormat="1" ht="30" hidden="1">
      <c r="A122" s="89"/>
      <c r="B122" s="277" t="s">
        <v>180</v>
      </c>
      <c r="C122" s="278"/>
      <c r="D122" s="282" t="s">
        <v>181</v>
      </c>
      <c r="E122" s="272">
        <f t="shared" si="10"/>
        <v>0</v>
      </c>
      <c r="F122" s="272"/>
      <c r="G122" s="272">
        <v>54577.87</v>
      </c>
      <c r="H122" s="272"/>
      <c r="I122" s="302"/>
      <c r="J122" s="304"/>
      <c r="K122" s="234"/>
      <c r="L122" s="234"/>
      <c r="M122" s="234"/>
      <c r="N122" s="234"/>
      <c r="O122" s="234"/>
      <c r="P122" s="234"/>
      <c r="Q122" s="234"/>
      <c r="R122" s="234"/>
    </row>
    <row r="123" spans="1:18" s="235" customFormat="1" ht="15" hidden="1">
      <c r="A123" s="89"/>
      <c r="B123" s="277">
        <v>3292</v>
      </c>
      <c r="C123" s="278"/>
      <c r="D123" s="279" t="s">
        <v>182</v>
      </c>
      <c r="E123" s="272">
        <f t="shared" si="10"/>
        <v>0</v>
      </c>
      <c r="F123" s="272"/>
      <c r="G123" s="272">
        <v>215255.56</v>
      </c>
      <c r="H123" s="272"/>
      <c r="I123" s="302"/>
      <c r="J123" s="304"/>
      <c r="K123" s="234"/>
      <c r="L123" s="234"/>
      <c r="M123" s="234"/>
      <c r="N123" s="234"/>
      <c r="O123" s="234"/>
      <c r="P123" s="234"/>
      <c r="Q123" s="234"/>
      <c r="R123" s="234"/>
    </row>
    <row r="124" spans="1:18" s="235" customFormat="1" ht="15" hidden="1">
      <c r="A124" s="89"/>
      <c r="B124" s="277">
        <v>3293</v>
      </c>
      <c r="C124" s="278"/>
      <c r="D124" s="279" t="s">
        <v>183</v>
      </c>
      <c r="E124" s="272">
        <f t="shared" si="10"/>
        <v>0</v>
      </c>
      <c r="F124" s="272"/>
      <c r="G124" s="272">
        <v>9987.53</v>
      </c>
      <c r="H124" s="272"/>
      <c r="I124" s="302"/>
      <c r="J124" s="304"/>
      <c r="K124" s="234"/>
      <c r="L124" s="234"/>
      <c r="M124" s="234"/>
      <c r="N124" s="234"/>
      <c r="O124" s="234"/>
      <c r="P124" s="234"/>
      <c r="Q124" s="234"/>
      <c r="R124" s="234"/>
    </row>
    <row r="125" spans="1:18" s="235" customFormat="1" ht="15" hidden="1">
      <c r="A125" s="89"/>
      <c r="B125" s="277">
        <v>3294</v>
      </c>
      <c r="C125" s="278"/>
      <c r="D125" s="279" t="s">
        <v>184</v>
      </c>
      <c r="E125" s="272">
        <f t="shared" si="10"/>
        <v>0</v>
      </c>
      <c r="F125" s="272"/>
      <c r="G125" s="272">
        <v>17118.32</v>
      </c>
      <c r="H125" s="272"/>
      <c r="I125" s="302"/>
      <c r="J125" s="304"/>
      <c r="K125" s="234"/>
      <c r="L125" s="234"/>
      <c r="M125" s="234"/>
      <c r="N125" s="234"/>
      <c r="O125" s="234"/>
      <c r="P125" s="234"/>
      <c r="Q125" s="234"/>
      <c r="R125" s="234"/>
    </row>
    <row r="126" spans="1:18" s="235" customFormat="1" ht="15" hidden="1">
      <c r="A126" s="89"/>
      <c r="B126" s="285">
        <v>3295</v>
      </c>
      <c r="C126" s="278"/>
      <c r="D126" s="286" t="s">
        <v>185</v>
      </c>
      <c r="E126" s="272">
        <f t="shared" si="10"/>
        <v>0</v>
      </c>
      <c r="F126" s="272"/>
      <c r="G126" s="272">
        <v>64098.88</v>
      </c>
      <c r="H126" s="272"/>
      <c r="I126" s="302"/>
      <c r="J126" s="304"/>
      <c r="K126" s="234"/>
      <c r="L126" s="234"/>
      <c r="M126" s="234"/>
      <c r="N126" s="234"/>
      <c r="O126" s="234"/>
      <c r="P126" s="234"/>
      <c r="Q126" s="234"/>
      <c r="R126" s="234"/>
    </row>
    <row r="127" spans="1:18" s="235" customFormat="1" ht="15" hidden="1">
      <c r="A127" s="89"/>
      <c r="B127" s="285">
        <v>3296</v>
      </c>
      <c r="C127" s="278"/>
      <c r="D127" s="286" t="s">
        <v>186</v>
      </c>
      <c r="E127" s="272">
        <f t="shared" si="10"/>
        <v>0</v>
      </c>
      <c r="F127" s="272"/>
      <c r="G127" s="272">
        <v>4645.3</v>
      </c>
      <c r="H127" s="272">
        <v>0</v>
      </c>
      <c r="I127" s="302"/>
      <c r="J127" s="304"/>
      <c r="K127" s="234"/>
      <c r="L127" s="234"/>
      <c r="M127" s="234"/>
      <c r="N127" s="234"/>
      <c r="O127" s="234"/>
      <c r="P127" s="234"/>
      <c r="Q127" s="234"/>
      <c r="R127" s="234"/>
    </row>
    <row r="128" spans="1:18" s="235" customFormat="1" ht="15" hidden="1">
      <c r="A128" s="89"/>
      <c r="B128" s="285" t="s">
        <v>187</v>
      </c>
      <c r="C128" s="278"/>
      <c r="D128" s="286" t="s">
        <v>179</v>
      </c>
      <c r="E128" s="272">
        <f t="shared" si="10"/>
        <v>0</v>
      </c>
      <c r="F128" s="272"/>
      <c r="G128" s="272">
        <v>77234.45</v>
      </c>
      <c r="H128" s="272"/>
      <c r="I128" s="302"/>
      <c r="J128" s="304"/>
      <c r="K128" s="234"/>
      <c r="L128" s="234"/>
      <c r="M128" s="234"/>
      <c r="N128" s="234"/>
      <c r="O128" s="234"/>
      <c r="P128" s="234"/>
      <c r="Q128" s="234"/>
      <c r="R128" s="234"/>
    </row>
    <row r="129" spans="1:18" s="235" customFormat="1" ht="15" hidden="1">
      <c r="A129" s="89"/>
      <c r="B129" s="265">
        <v>34</v>
      </c>
      <c r="C129" s="266"/>
      <c r="D129" s="267" t="s">
        <v>188</v>
      </c>
      <c r="E129" s="287">
        <f>SUM(E130)</f>
        <v>0</v>
      </c>
      <c r="F129" s="287">
        <f>SUM(F130)</f>
        <v>0</v>
      </c>
      <c r="G129" s="287">
        <f>SUM(G130)</f>
        <v>409928.04999999993</v>
      </c>
      <c r="H129" s="287">
        <f>SUM(H130)</f>
        <v>0</v>
      </c>
      <c r="I129" s="301" t="e">
        <f>SUM(H129/E129*100)</f>
        <v>#DIV/0!</v>
      </c>
      <c r="J129" s="301">
        <f>SUM(H129/G129*100)</f>
        <v>0</v>
      </c>
      <c r="K129" s="234"/>
      <c r="L129" s="234"/>
      <c r="M129" s="234"/>
      <c r="N129" s="234"/>
      <c r="O129" s="234"/>
      <c r="P129" s="234"/>
      <c r="Q129" s="234"/>
      <c r="R129" s="234"/>
    </row>
    <row r="130" spans="1:18" s="235" customFormat="1" ht="15" hidden="1">
      <c r="A130" s="89"/>
      <c r="B130" s="283">
        <v>343</v>
      </c>
      <c r="C130" s="280"/>
      <c r="D130" s="284" t="s">
        <v>189</v>
      </c>
      <c r="E130" s="270">
        <f>SUM(E131:E133)</f>
        <v>0</v>
      </c>
      <c r="F130" s="270">
        <f>SUM(F131:F133)</f>
        <v>0</v>
      </c>
      <c r="G130" s="270">
        <f>SUM(G131:G133)</f>
        <v>409928.04999999993</v>
      </c>
      <c r="H130" s="270">
        <f>SUM(H131:H132)</f>
        <v>0</v>
      </c>
      <c r="I130" s="302"/>
      <c r="J130" s="304"/>
      <c r="K130" s="234"/>
      <c r="L130" s="234"/>
      <c r="M130" s="234"/>
      <c r="N130" s="234"/>
      <c r="O130" s="234"/>
      <c r="P130" s="234"/>
      <c r="Q130" s="234"/>
      <c r="R130" s="234"/>
    </row>
    <row r="131" spans="1:18" s="235" customFormat="1" ht="15" hidden="1">
      <c r="A131" s="89"/>
      <c r="B131" s="277" t="s">
        <v>190</v>
      </c>
      <c r="C131" s="278"/>
      <c r="D131" s="279" t="s">
        <v>191</v>
      </c>
      <c r="E131" s="272">
        <f>F131/7.5345</f>
        <v>0</v>
      </c>
      <c r="F131" s="272"/>
      <c r="G131" s="272">
        <v>67485.03</v>
      </c>
      <c r="H131" s="272"/>
      <c r="I131" s="302"/>
      <c r="J131" s="304"/>
      <c r="K131" s="234"/>
      <c r="L131" s="234"/>
      <c r="M131" s="234"/>
      <c r="N131" s="234"/>
      <c r="O131" s="234"/>
      <c r="P131" s="234"/>
      <c r="Q131" s="234"/>
      <c r="R131" s="234"/>
    </row>
    <row r="132" spans="1:18" s="235" customFormat="1" ht="15" hidden="1">
      <c r="A132" s="89"/>
      <c r="B132" s="285">
        <v>3433</v>
      </c>
      <c r="C132" s="278"/>
      <c r="D132" s="286" t="s">
        <v>192</v>
      </c>
      <c r="E132" s="272">
        <f>F132/7.5345</f>
        <v>0</v>
      </c>
      <c r="F132" s="272"/>
      <c r="G132" s="272">
        <v>342376.66</v>
      </c>
      <c r="H132" s="272"/>
      <c r="I132" s="302"/>
      <c r="J132" s="304"/>
      <c r="K132" s="234"/>
      <c r="L132" s="234"/>
      <c r="M132" s="234"/>
      <c r="N132" s="234"/>
      <c r="O132" s="234"/>
      <c r="P132" s="234"/>
      <c r="Q132" s="234"/>
      <c r="R132" s="234"/>
    </row>
    <row r="133" spans="1:18" s="235" customFormat="1" ht="15" hidden="1">
      <c r="A133" s="89"/>
      <c r="B133" s="285">
        <v>3434</v>
      </c>
      <c r="C133" s="278"/>
      <c r="D133" s="286" t="s">
        <v>193</v>
      </c>
      <c r="E133" s="272">
        <f>F133/7.5345</f>
        <v>0</v>
      </c>
      <c r="F133" s="272">
        <v>0</v>
      </c>
      <c r="G133" s="272">
        <v>66.36</v>
      </c>
      <c r="H133" s="272">
        <v>0</v>
      </c>
      <c r="I133" s="302"/>
      <c r="J133" s="304"/>
      <c r="K133" s="234"/>
      <c r="L133" s="234"/>
      <c r="M133" s="234"/>
      <c r="N133" s="234"/>
      <c r="O133" s="234"/>
      <c r="P133" s="234"/>
      <c r="Q133" s="234"/>
      <c r="R133" s="234"/>
    </row>
    <row r="134" spans="1:18" s="235" customFormat="1" ht="15" hidden="1">
      <c r="A134" s="89"/>
      <c r="B134" s="288">
        <v>36</v>
      </c>
      <c r="C134" s="289"/>
      <c r="D134" s="290" t="s">
        <v>194</v>
      </c>
      <c r="E134" s="287">
        <f>E135</f>
        <v>0</v>
      </c>
      <c r="F134" s="287">
        <f>F135</f>
        <v>0</v>
      </c>
      <c r="G134" s="287">
        <f>G135</f>
        <v>7963.37</v>
      </c>
      <c r="H134" s="287">
        <f>H135</f>
        <v>0</v>
      </c>
      <c r="I134" s="301" t="e">
        <f>SUM(H134/E134*100)</f>
        <v>#DIV/0!</v>
      </c>
      <c r="J134" s="301">
        <f>SUM(H134/G134*100)</f>
        <v>0</v>
      </c>
      <c r="K134" s="234"/>
      <c r="L134" s="234"/>
      <c r="M134" s="234"/>
      <c r="N134" s="234"/>
      <c r="O134" s="234"/>
      <c r="P134" s="234"/>
      <c r="Q134" s="234"/>
      <c r="R134" s="234"/>
    </row>
    <row r="135" spans="1:18" s="235" customFormat="1" ht="15" hidden="1">
      <c r="A135" s="89"/>
      <c r="B135" s="291">
        <v>369</v>
      </c>
      <c r="C135" s="280"/>
      <c r="D135" s="292" t="s">
        <v>67</v>
      </c>
      <c r="E135" s="270">
        <f>SUM(E137,E136)</f>
        <v>0</v>
      </c>
      <c r="F135" s="270">
        <f>SUM(F137,F136)</f>
        <v>0</v>
      </c>
      <c r="G135" s="270">
        <f>SUM(G137)</f>
        <v>7963.37</v>
      </c>
      <c r="H135" s="270">
        <f>SUM(H137)</f>
        <v>0</v>
      </c>
      <c r="I135" s="304"/>
      <c r="J135" s="304"/>
      <c r="K135" s="234"/>
      <c r="L135" s="234"/>
      <c r="M135" s="234"/>
      <c r="N135" s="234"/>
      <c r="O135" s="234"/>
      <c r="P135" s="234"/>
      <c r="Q135" s="234"/>
      <c r="R135" s="234"/>
    </row>
    <row r="136" spans="1:18" s="235" customFormat="1" ht="15" hidden="1">
      <c r="A136" s="89"/>
      <c r="B136" s="285">
        <v>3691</v>
      </c>
      <c r="C136" s="278"/>
      <c r="D136" s="286" t="s">
        <v>195</v>
      </c>
      <c r="E136" s="272">
        <f>F136/7.5345</f>
        <v>0</v>
      </c>
      <c r="F136" s="272"/>
      <c r="G136" s="272">
        <v>0</v>
      </c>
      <c r="H136" s="272">
        <v>0</v>
      </c>
      <c r="I136" s="302"/>
      <c r="J136" s="302"/>
      <c r="K136" s="234"/>
      <c r="L136" s="234"/>
      <c r="M136" s="234"/>
      <c r="N136" s="234"/>
      <c r="O136" s="234"/>
      <c r="P136" s="234"/>
      <c r="Q136" s="234"/>
      <c r="R136" s="234"/>
    </row>
    <row r="137" spans="1:18" s="235" customFormat="1" ht="15" hidden="1">
      <c r="A137" s="89"/>
      <c r="B137" s="285">
        <v>3692</v>
      </c>
      <c r="C137" s="278"/>
      <c r="D137" s="286" t="s">
        <v>196</v>
      </c>
      <c r="E137" s="272">
        <f>F137/7.5345</f>
        <v>0</v>
      </c>
      <c r="F137" s="272">
        <v>0</v>
      </c>
      <c r="G137" s="272">
        <v>7963.37</v>
      </c>
      <c r="H137" s="272">
        <v>0</v>
      </c>
      <c r="I137" s="302"/>
      <c r="J137" s="304"/>
      <c r="K137" s="234"/>
      <c r="L137" s="234"/>
      <c r="M137" s="234"/>
      <c r="N137" s="234"/>
      <c r="O137" s="234"/>
      <c r="P137" s="234"/>
      <c r="Q137" s="234"/>
      <c r="R137" s="234"/>
    </row>
    <row r="138" spans="1:18" s="235" customFormat="1" ht="15" hidden="1">
      <c r="A138" s="89"/>
      <c r="B138" s="288">
        <v>37</v>
      </c>
      <c r="C138" s="289"/>
      <c r="D138" s="293" t="s">
        <v>197</v>
      </c>
      <c r="E138" s="287">
        <f aca="true" t="shared" si="11" ref="E138:H139">SUM(E139)</f>
        <v>0</v>
      </c>
      <c r="F138" s="287">
        <f t="shared" si="11"/>
        <v>0</v>
      </c>
      <c r="G138" s="287">
        <f t="shared" si="11"/>
        <v>0</v>
      </c>
      <c r="H138" s="287">
        <f t="shared" si="11"/>
        <v>0</v>
      </c>
      <c r="I138" s="301" t="e">
        <f>SUM(H138/E138*100)</f>
        <v>#DIV/0!</v>
      </c>
      <c r="J138" s="301" t="e">
        <f>SUM(H138/G138*100)</f>
        <v>#DIV/0!</v>
      </c>
      <c r="K138" s="234"/>
      <c r="L138" s="234"/>
      <c r="M138" s="234"/>
      <c r="N138" s="234"/>
      <c r="O138" s="234"/>
      <c r="P138" s="234"/>
      <c r="Q138" s="234"/>
      <c r="R138" s="234"/>
    </row>
    <row r="139" spans="1:18" s="235" customFormat="1" ht="15" hidden="1">
      <c r="A139" s="89"/>
      <c r="B139" s="291">
        <v>372</v>
      </c>
      <c r="C139" s="280"/>
      <c r="D139" s="308" t="s">
        <v>198</v>
      </c>
      <c r="E139" s="270">
        <f t="shared" si="11"/>
        <v>0</v>
      </c>
      <c r="F139" s="270">
        <f t="shared" si="11"/>
        <v>0</v>
      </c>
      <c r="G139" s="270">
        <f t="shared" si="11"/>
        <v>0</v>
      </c>
      <c r="H139" s="270">
        <f t="shared" si="11"/>
        <v>0</v>
      </c>
      <c r="I139" s="302"/>
      <c r="J139" s="304"/>
      <c r="K139" s="234"/>
      <c r="L139" s="234"/>
      <c r="M139" s="234"/>
      <c r="N139" s="234"/>
      <c r="O139" s="234"/>
      <c r="P139" s="234"/>
      <c r="Q139" s="234"/>
      <c r="R139" s="234"/>
    </row>
    <row r="140" spans="1:18" s="235" customFormat="1" ht="15" hidden="1">
      <c r="A140" s="89"/>
      <c r="B140" s="285">
        <v>3721</v>
      </c>
      <c r="C140" s="278"/>
      <c r="D140" s="309" t="s">
        <v>199</v>
      </c>
      <c r="E140" s="272">
        <v>0</v>
      </c>
      <c r="F140" s="272">
        <v>0</v>
      </c>
      <c r="G140" s="272">
        <v>0</v>
      </c>
      <c r="H140" s="272"/>
      <c r="I140" s="302"/>
      <c r="J140" s="304"/>
      <c r="K140" s="234"/>
      <c r="L140" s="234"/>
      <c r="M140" s="234"/>
      <c r="N140" s="234"/>
      <c r="O140" s="234"/>
      <c r="P140" s="234"/>
      <c r="Q140" s="234"/>
      <c r="R140" s="234"/>
    </row>
    <row r="141" spans="1:18" s="235" customFormat="1" ht="15" hidden="1">
      <c r="A141" s="89"/>
      <c r="B141" s="265" t="s">
        <v>200</v>
      </c>
      <c r="C141" s="266"/>
      <c r="D141" s="267" t="s">
        <v>133</v>
      </c>
      <c r="E141" s="287">
        <f>E144+E142</f>
        <v>0</v>
      </c>
      <c r="F141" s="287">
        <f>F144+F142</f>
        <v>0</v>
      </c>
      <c r="G141" s="287">
        <f>G142+G144</f>
        <v>669408.5900000001</v>
      </c>
      <c r="H141" s="287">
        <f>H144+H142</f>
        <v>0</v>
      </c>
      <c r="I141" s="301" t="e">
        <f>SUM(H141/E141*100)</f>
        <v>#DIV/0!</v>
      </c>
      <c r="J141" s="301">
        <f>SUM(H141/G141*100)</f>
        <v>0</v>
      </c>
      <c r="K141" s="234"/>
      <c r="L141" s="234"/>
      <c r="M141" s="234"/>
      <c r="N141" s="234"/>
      <c r="O141" s="234"/>
      <c r="P141" s="234"/>
      <c r="Q141" s="234"/>
      <c r="R141" s="234"/>
    </row>
    <row r="142" spans="1:18" s="235" customFormat="1" ht="15" hidden="1">
      <c r="A142" s="89"/>
      <c r="B142" s="310" t="s">
        <v>201</v>
      </c>
      <c r="C142" s="311"/>
      <c r="D142" s="312" t="s">
        <v>202</v>
      </c>
      <c r="E142" s="313">
        <f>E143</f>
        <v>0</v>
      </c>
      <c r="F142" s="313">
        <f>F143</f>
        <v>0</v>
      </c>
      <c r="G142" s="313">
        <f>G143</f>
        <v>485.64</v>
      </c>
      <c r="H142" s="313">
        <f>H143</f>
        <v>0</v>
      </c>
      <c r="I142" s="300"/>
      <c r="J142" s="300"/>
      <c r="K142" s="234"/>
      <c r="L142" s="234"/>
      <c r="M142" s="234"/>
      <c r="N142" s="234"/>
      <c r="O142" s="234"/>
      <c r="P142" s="234"/>
      <c r="Q142" s="234"/>
      <c r="R142" s="234"/>
    </row>
    <row r="143" spans="1:18" s="235" customFormat="1" ht="15" hidden="1">
      <c r="A143" s="89"/>
      <c r="B143" s="314" t="s">
        <v>203</v>
      </c>
      <c r="C143" s="315"/>
      <c r="D143" s="316" t="s">
        <v>202</v>
      </c>
      <c r="E143" s="272">
        <f aca="true" t="shared" si="12" ref="E143:E148">F143/7.5345</f>
        <v>0</v>
      </c>
      <c r="F143" s="317"/>
      <c r="G143" s="317">
        <v>485.64</v>
      </c>
      <c r="H143" s="317"/>
      <c r="I143" s="333"/>
      <c r="J143" s="333"/>
      <c r="K143" s="234"/>
      <c r="L143" s="234"/>
      <c r="M143" s="234"/>
      <c r="N143" s="234"/>
      <c r="O143" s="234"/>
      <c r="P143" s="234"/>
      <c r="Q143" s="234"/>
      <c r="R143" s="234"/>
    </row>
    <row r="144" spans="1:18" s="235" customFormat="1" ht="15" hidden="1">
      <c r="A144" s="89"/>
      <c r="B144" s="291">
        <v>383</v>
      </c>
      <c r="C144" s="280"/>
      <c r="D144" s="292" t="s">
        <v>204</v>
      </c>
      <c r="E144" s="270">
        <f>SUM(E145:E148)</f>
        <v>0</v>
      </c>
      <c r="F144" s="270">
        <f>SUM(F145:F148)</f>
        <v>0</v>
      </c>
      <c r="G144" s="270">
        <f>SUM(G145:G148)</f>
        <v>668922.9500000001</v>
      </c>
      <c r="H144" s="270">
        <f>SUM(H145:H148)</f>
        <v>0</v>
      </c>
      <c r="I144" s="302"/>
      <c r="J144" s="304"/>
      <c r="K144" s="234"/>
      <c r="L144" s="234"/>
      <c r="M144" s="234"/>
      <c r="N144" s="234"/>
      <c r="O144" s="234"/>
      <c r="P144" s="234"/>
      <c r="Q144" s="234"/>
      <c r="R144" s="234"/>
    </row>
    <row r="145" spans="1:18" s="235" customFormat="1" ht="15" hidden="1">
      <c r="A145" s="89"/>
      <c r="B145" s="285">
        <v>3831</v>
      </c>
      <c r="C145" s="278"/>
      <c r="D145" s="286" t="s">
        <v>205</v>
      </c>
      <c r="E145" s="272">
        <f t="shared" si="12"/>
        <v>0</v>
      </c>
      <c r="F145" s="272">
        <v>0</v>
      </c>
      <c r="G145" s="272">
        <v>0</v>
      </c>
      <c r="H145" s="272">
        <v>0</v>
      </c>
      <c r="I145" s="302"/>
      <c r="J145" s="304"/>
      <c r="K145" s="234"/>
      <c r="L145" s="234"/>
      <c r="M145" s="234"/>
      <c r="N145" s="234"/>
      <c r="O145" s="234"/>
      <c r="P145" s="234"/>
      <c r="Q145" s="234"/>
      <c r="R145" s="234"/>
    </row>
    <row r="146" spans="1:18" s="235" customFormat="1" ht="15" hidden="1">
      <c r="A146" s="89"/>
      <c r="B146" s="285">
        <v>3833</v>
      </c>
      <c r="C146" s="278"/>
      <c r="D146" s="286" t="s">
        <v>206</v>
      </c>
      <c r="E146" s="272">
        <f t="shared" si="12"/>
        <v>0</v>
      </c>
      <c r="F146" s="272"/>
      <c r="G146" s="272">
        <v>663614.04</v>
      </c>
      <c r="H146" s="272">
        <v>0</v>
      </c>
      <c r="I146" s="302"/>
      <c r="J146" s="304"/>
      <c r="K146" s="234"/>
      <c r="L146" s="234"/>
      <c r="M146" s="234"/>
      <c r="N146" s="234"/>
      <c r="O146" s="234"/>
      <c r="P146" s="234"/>
      <c r="Q146" s="234"/>
      <c r="R146" s="234"/>
    </row>
    <row r="147" spans="1:18" s="235" customFormat="1" ht="15" hidden="1">
      <c r="A147" s="89"/>
      <c r="B147" s="285">
        <v>3834</v>
      </c>
      <c r="C147" s="278"/>
      <c r="D147" s="286" t="s">
        <v>207</v>
      </c>
      <c r="E147" s="272">
        <f t="shared" si="12"/>
        <v>0</v>
      </c>
      <c r="F147" s="272"/>
      <c r="G147" s="272">
        <v>5308.91</v>
      </c>
      <c r="H147" s="272">
        <v>0</v>
      </c>
      <c r="I147" s="302"/>
      <c r="J147" s="304"/>
      <c r="K147" s="234"/>
      <c r="L147" s="234"/>
      <c r="M147" s="234"/>
      <c r="N147" s="234"/>
      <c r="O147" s="234"/>
      <c r="P147" s="234"/>
      <c r="Q147" s="234"/>
      <c r="R147" s="234"/>
    </row>
    <row r="148" spans="1:18" s="235" customFormat="1" ht="15" hidden="1">
      <c r="A148" s="89"/>
      <c r="B148" s="285">
        <v>3835</v>
      </c>
      <c r="C148" s="278"/>
      <c r="D148" s="286" t="s">
        <v>208</v>
      </c>
      <c r="E148" s="272">
        <f t="shared" si="12"/>
        <v>0</v>
      </c>
      <c r="F148" s="272"/>
      <c r="G148" s="272">
        <v>0</v>
      </c>
      <c r="H148" s="272"/>
      <c r="I148" s="302"/>
      <c r="J148" s="304"/>
      <c r="K148" s="234"/>
      <c r="L148" s="234"/>
      <c r="M148" s="234"/>
      <c r="N148" s="234"/>
      <c r="O148" s="234"/>
      <c r="P148" s="234"/>
      <c r="Q148" s="234"/>
      <c r="R148" s="234"/>
    </row>
    <row r="149" spans="1:18" s="235" customFormat="1" ht="15" hidden="1">
      <c r="A149" s="318">
        <v>4</v>
      </c>
      <c r="B149" s="319"/>
      <c r="C149" s="320"/>
      <c r="D149" s="321" t="s">
        <v>209</v>
      </c>
      <c r="E149" s="322">
        <f>E150+E155+E167</f>
        <v>0</v>
      </c>
      <c r="F149" s="322">
        <f>F150+F155+F167</f>
        <v>0</v>
      </c>
      <c r="G149" s="322">
        <f>G150+G155+G167</f>
        <v>272061.05</v>
      </c>
      <c r="H149" s="322">
        <f>H150+H155+H167</f>
        <v>0</v>
      </c>
      <c r="I149" s="299" t="e">
        <f>SUM(H149/E149*100)</f>
        <v>#DIV/0!</v>
      </c>
      <c r="J149" s="299">
        <f>SUM(H149/G149*100)</f>
        <v>0</v>
      </c>
      <c r="K149" s="234"/>
      <c r="L149" s="234"/>
      <c r="M149" s="234"/>
      <c r="N149" s="234"/>
      <c r="O149" s="234"/>
      <c r="P149" s="234"/>
      <c r="Q149" s="234"/>
      <c r="R149" s="234"/>
    </row>
    <row r="150" spans="1:18" s="235" customFormat="1" ht="15" hidden="1">
      <c r="A150" s="323"/>
      <c r="B150" s="265" t="s">
        <v>210</v>
      </c>
      <c r="C150" s="266"/>
      <c r="D150" s="324" t="s">
        <v>211</v>
      </c>
      <c r="E150" s="287">
        <f>SUM(E153)</f>
        <v>0</v>
      </c>
      <c r="F150" s="287">
        <f>SUM(F153)</f>
        <v>0</v>
      </c>
      <c r="G150" s="287">
        <f>SUM(G151,G153)</f>
        <v>4645.3</v>
      </c>
      <c r="H150" s="287">
        <f>SUM(H151,H153)</f>
        <v>0</v>
      </c>
      <c r="I150" s="301" t="e">
        <f>SUM(H150/E150*100)</f>
        <v>#DIV/0!</v>
      </c>
      <c r="J150" s="301">
        <f>SUM(H150/G150*100)</f>
        <v>0</v>
      </c>
      <c r="K150" s="234"/>
      <c r="L150" s="234"/>
      <c r="M150" s="234"/>
      <c r="N150" s="234"/>
      <c r="O150" s="234"/>
      <c r="P150" s="234"/>
      <c r="Q150" s="234"/>
      <c r="R150" s="234"/>
    </row>
    <row r="151" spans="1:18" s="235" customFormat="1" ht="15" hidden="1">
      <c r="A151" s="323"/>
      <c r="B151" s="310" t="s">
        <v>212</v>
      </c>
      <c r="C151" s="311"/>
      <c r="D151" s="325" t="s">
        <v>213</v>
      </c>
      <c r="E151" s="313">
        <f>SUM(E152)</f>
        <v>0</v>
      </c>
      <c r="F151" s="313">
        <f>SUM(F152)</f>
        <v>0</v>
      </c>
      <c r="G151" s="313">
        <f>SUM(G152)</f>
        <v>4645.3</v>
      </c>
      <c r="H151" s="313">
        <f>SUM(H152)</f>
        <v>0</v>
      </c>
      <c r="I151" s="333"/>
      <c r="J151" s="333"/>
      <c r="K151" s="234"/>
      <c r="L151" s="234"/>
      <c r="M151" s="234"/>
      <c r="N151" s="234"/>
      <c r="O151" s="234"/>
      <c r="P151" s="234"/>
      <c r="Q151" s="234"/>
      <c r="R151" s="234"/>
    </row>
    <row r="152" spans="1:18" s="235" customFormat="1" ht="15" hidden="1">
      <c r="A152" s="323"/>
      <c r="B152" s="314" t="s">
        <v>214</v>
      </c>
      <c r="C152" s="315"/>
      <c r="D152" s="326" t="s">
        <v>215</v>
      </c>
      <c r="E152" s="317">
        <v>0</v>
      </c>
      <c r="F152" s="317">
        <v>0</v>
      </c>
      <c r="G152" s="317">
        <v>4645.3</v>
      </c>
      <c r="H152" s="317">
        <v>0</v>
      </c>
      <c r="I152" s="333"/>
      <c r="J152" s="333"/>
      <c r="K152" s="234"/>
      <c r="L152" s="234"/>
      <c r="M152" s="234"/>
      <c r="N152" s="234"/>
      <c r="O152" s="234"/>
      <c r="P152" s="234"/>
      <c r="Q152" s="234"/>
      <c r="R152" s="234"/>
    </row>
    <row r="153" spans="1:18" s="235" customFormat="1" ht="15" hidden="1">
      <c r="A153" s="323"/>
      <c r="B153" s="283">
        <v>412</v>
      </c>
      <c r="C153" s="273"/>
      <c r="D153" s="70" t="s">
        <v>216</v>
      </c>
      <c r="E153" s="270">
        <f>SUM(E154)</f>
        <v>0</v>
      </c>
      <c r="F153" s="270">
        <f>SUM(F154)</f>
        <v>0</v>
      </c>
      <c r="G153" s="270">
        <f>SUM(G154)</f>
        <v>0</v>
      </c>
      <c r="H153" s="270">
        <f>SUM(H154)</f>
        <v>0</v>
      </c>
      <c r="I153" s="302"/>
      <c r="J153" s="304"/>
      <c r="K153" s="234"/>
      <c r="L153" s="234"/>
      <c r="M153" s="234"/>
      <c r="N153" s="234"/>
      <c r="O153" s="234"/>
      <c r="P153" s="234"/>
      <c r="Q153" s="234"/>
      <c r="R153" s="234"/>
    </row>
    <row r="154" spans="1:18" s="235" customFormat="1" ht="15" hidden="1">
      <c r="A154" s="327"/>
      <c r="B154" s="277">
        <v>4123</v>
      </c>
      <c r="C154" s="274"/>
      <c r="D154" s="71" t="s">
        <v>217</v>
      </c>
      <c r="E154" s="272">
        <v>0</v>
      </c>
      <c r="F154" s="272">
        <v>0</v>
      </c>
      <c r="G154" s="272">
        <v>0</v>
      </c>
      <c r="H154" s="272">
        <v>0</v>
      </c>
      <c r="I154" s="302"/>
      <c r="J154" s="304"/>
      <c r="K154" s="234"/>
      <c r="L154" s="234"/>
      <c r="M154" s="234"/>
      <c r="N154" s="234"/>
      <c r="O154" s="234"/>
      <c r="P154" s="234"/>
      <c r="Q154" s="234"/>
      <c r="R154" s="234"/>
    </row>
    <row r="155" spans="1:18" s="235" customFormat="1" ht="15" hidden="1">
      <c r="A155" s="89"/>
      <c r="B155" s="265">
        <v>42</v>
      </c>
      <c r="C155" s="266"/>
      <c r="D155" s="267" t="s">
        <v>218</v>
      </c>
      <c r="E155" s="287">
        <f>SUM(E156,E163,E165)</f>
        <v>0</v>
      </c>
      <c r="F155" s="287">
        <f>SUM(F156,F163,F165)</f>
        <v>0</v>
      </c>
      <c r="G155" s="287">
        <f>SUM(G156,G163)</f>
        <v>227532.54</v>
      </c>
      <c r="H155" s="287">
        <f>SUM(H156,H163,H165)</f>
        <v>0</v>
      </c>
      <c r="I155" s="301" t="e">
        <f>SUM(H155/E155*100)</f>
        <v>#DIV/0!</v>
      </c>
      <c r="J155" s="301">
        <f>SUM(H155/G155*100)</f>
        <v>0</v>
      </c>
      <c r="K155" s="234"/>
      <c r="L155" s="234"/>
      <c r="M155" s="234"/>
      <c r="N155" s="234"/>
      <c r="O155" s="234"/>
      <c r="P155" s="234"/>
      <c r="Q155" s="234"/>
      <c r="R155" s="234"/>
    </row>
    <row r="156" spans="1:18" s="235" customFormat="1" ht="15" hidden="1">
      <c r="A156" s="89"/>
      <c r="B156" s="269">
        <v>422</v>
      </c>
      <c r="C156" s="89"/>
      <c r="D156" s="264" t="s">
        <v>219</v>
      </c>
      <c r="E156" s="270">
        <f>SUM(E157:E162)</f>
        <v>0</v>
      </c>
      <c r="F156" s="270">
        <f>SUM(F157:F162)</f>
        <v>0</v>
      </c>
      <c r="G156" s="270">
        <f>SUM(G157:G162)</f>
        <v>214260.26</v>
      </c>
      <c r="H156" s="270">
        <f>SUM(H157:H162)</f>
        <v>0</v>
      </c>
      <c r="I156" s="302"/>
      <c r="J156" s="304"/>
      <c r="K156" s="234"/>
      <c r="L156" s="234"/>
      <c r="M156" s="234"/>
      <c r="N156" s="234"/>
      <c r="O156" s="234"/>
      <c r="P156" s="234"/>
      <c r="Q156" s="234"/>
      <c r="R156" s="234"/>
    </row>
    <row r="157" spans="1:18" s="235" customFormat="1" ht="15" hidden="1">
      <c r="A157" s="89"/>
      <c r="B157" s="271" t="s">
        <v>220</v>
      </c>
      <c r="C157" s="89"/>
      <c r="D157" s="89" t="s">
        <v>221</v>
      </c>
      <c r="E157" s="272">
        <f aca="true" t="shared" si="13" ref="E157:E162">F157/7.5345</f>
        <v>0</v>
      </c>
      <c r="F157" s="272"/>
      <c r="G157" s="272">
        <v>53089.12</v>
      </c>
      <c r="H157" s="272"/>
      <c r="I157" s="302"/>
      <c r="J157" s="304"/>
      <c r="K157" s="234"/>
      <c r="L157" s="234"/>
      <c r="M157" s="234"/>
      <c r="N157" s="234"/>
      <c r="O157" s="234"/>
      <c r="P157" s="234"/>
      <c r="Q157" s="234"/>
      <c r="R157" s="234"/>
    </row>
    <row r="158" spans="1:18" s="235" customFormat="1" ht="15" hidden="1">
      <c r="A158" s="89"/>
      <c r="B158" s="271" t="s">
        <v>222</v>
      </c>
      <c r="C158" s="89"/>
      <c r="D158" s="89" t="s">
        <v>223</v>
      </c>
      <c r="E158" s="272">
        <f t="shared" si="13"/>
        <v>0</v>
      </c>
      <c r="F158" s="272"/>
      <c r="G158" s="272">
        <v>0</v>
      </c>
      <c r="H158" s="272">
        <v>0</v>
      </c>
      <c r="I158" s="302"/>
      <c r="J158" s="304"/>
      <c r="K158" s="234"/>
      <c r="L158" s="234"/>
      <c r="M158" s="234"/>
      <c r="N158" s="234"/>
      <c r="O158" s="234"/>
      <c r="P158" s="234"/>
      <c r="Q158" s="234"/>
      <c r="R158" s="234"/>
    </row>
    <row r="159" spans="1:18" s="235" customFormat="1" ht="15" hidden="1">
      <c r="A159" s="327"/>
      <c r="B159" s="277">
        <v>4223</v>
      </c>
      <c r="C159" s="274"/>
      <c r="D159" s="71" t="s">
        <v>224</v>
      </c>
      <c r="E159" s="272">
        <f t="shared" si="13"/>
        <v>0</v>
      </c>
      <c r="F159" s="272"/>
      <c r="G159" s="272">
        <v>13272.28</v>
      </c>
      <c r="H159" s="272">
        <v>0</v>
      </c>
      <c r="I159" s="302"/>
      <c r="J159" s="304"/>
      <c r="K159" s="234"/>
      <c r="L159" s="234"/>
      <c r="M159" s="234"/>
      <c r="N159" s="234"/>
      <c r="O159" s="234"/>
      <c r="P159" s="234"/>
      <c r="Q159" s="234"/>
      <c r="R159" s="234"/>
    </row>
    <row r="160" spans="1:18" s="235" customFormat="1" ht="15" hidden="1">
      <c r="A160" s="327"/>
      <c r="B160" s="277">
        <v>4224</v>
      </c>
      <c r="C160" s="274"/>
      <c r="D160" s="71" t="s">
        <v>225</v>
      </c>
      <c r="E160" s="272">
        <f t="shared" si="13"/>
        <v>0</v>
      </c>
      <c r="F160" s="272"/>
      <c r="G160" s="272">
        <v>72201.21</v>
      </c>
      <c r="H160" s="272"/>
      <c r="I160" s="302"/>
      <c r="J160" s="304"/>
      <c r="K160" s="234"/>
      <c r="L160" s="234"/>
      <c r="M160" s="234"/>
      <c r="N160" s="234"/>
      <c r="O160" s="234"/>
      <c r="P160" s="234"/>
      <c r="Q160" s="234"/>
      <c r="R160" s="234"/>
    </row>
    <row r="161" spans="1:18" s="235" customFormat="1" ht="15" hidden="1">
      <c r="A161" s="327"/>
      <c r="B161" s="277">
        <v>4225</v>
      </c>
      <c r="C161" s="274"/>
      <c r="D161" s="71" t="s">
        <v>226</v>
      </c>
      <c r="E161" s="272">
        <f t="shared" si="13"/>
        <v>0</v>
      </c>
      <c r="F161" s="272"/>
      <c r="G161" s="272">
        <v>71715.97</v>
      </c>
      <c r="H161" s="272">
        <v>0</v>
      </c>
      <c r="I161" s="302"/>
      <c r="J161" s="304"/>
      <c r="K161" s="234"/>
      <c r="L161" s="234"/>
      <c r="M161" s="234"/>
      <c r="N161" s="234"/>
      <c r="O161" s="234"/>
      <c r="P161" s="234"/>
      <c r="Q161" s="234"/>
      <c r="R161" s="234"/>
    </row>
    <row r="162" spans="1:18" s="235" customFormat="1" ht="15" hidden="1">
      <c r="A162" s="327"/>
      <c r="B162" s="277">
        <v>4227</v>
      </c>
      <c r="C162" s="274"/>
      <c r="D162" s="71" t="s">
        <v>227</v>
      </c>
      <c r="E162" s="272">
        <f t="shared" si="13"/>
        <v>0</v>
      </c>
      <c r="F162" s="272">
        <v>0</v>
      </c>
      <c r="G162" s="272">
        <v>3981.68</v>
      </c>
      <c r="H162" s="272">
        <v>0</v>
      </c>
      <c r="I162" s="302"/>
      <c r="J162" s="304"/>
      <c r="K162" s="234"/>
      <c r="L162" s="234"/>
      <c r="M162" s="234"/>
      <c r="N162" s="234"/>
      <c r="O162" s="234"/>
      <c r="P162" s="234"/>
      <c r="Q162" s="234"/>
      <c r="R162" s="234"/>
    </row>
    <row r="163" spans="1:18" s="236" customFormat="1" ht="15" hidden="1">
      <c r="A163" s="323"/>
      <c r="B163" s="283">
        <v>423</v>
      </c>
      <c r="C163" s="273"/>
      <c r="D163" s="70" t="s">
        <v>228</v>
      </c>
      <c r="E163" s="270">
        <f>E164</f>
        <v>0</v>
      </c>
      <c r="F163" s="270">
        <f>F164</f>
        <v>0</v>
      </c>
      <c r="G163" s="270">
        <f>G164</f>
        <v>13272.28</v>
      </c>
      <c r="H163" s="270">
        <f>H164</f>
        <v>0</v>
      </c>
      <c r="I163" s="304"/>
      <c r="J163" s="304"/>
      <c r="K163" s="246"/>
      <c r="L163" s="246"/>
      <c r="M163" s="246"/>
      <c r="N163" s="246"/>
      <c r="O163" s="246"/>
      <c r="P163" s="246"/>
      <c r="Q163" s="246"/>
      <c r="R163" s="246"/>
    </row>
    <row r="164" spans="1:18" s="235" customFormat="1" ht="15" hidden="1">
      <c r="A164" s="327"/>
      <c r="B164" s="277">
        <v>4231</v>
      </c>
      <c r="C164" s="274"/>
      <c r="D164" s="71" t="s">
        <v>228</v>
      </c>
      <c r="E164" s="272">
        <f aca="true" t="shared" si="14" ref="E164:E169">F164/7.5345</f>
        <v>0</v>
      </c>
      <c r="F164" s="272"/>
      <c r="G164" s="272">
        <v>13272.28</v>
      </c>
      <c r="H164" s="272"/>
      <c r="I164" s="302"/>
      <c r="J164" s="304"/>
      <c r="K164" s="234"/>
      <c r="L164" s="234"/>
      <c r="M164" s="234"/>
      <c r="N164" s="234"/>
      <c r="O164" s="234"/>
      <c r="P164" s="234"/>
      <c r="Q164" s="234"/>
      <c r="R164" s="234"/>
    </row>
    <row r="165" spans="1:18" s="236" customFormat="1" ht="15" hidden="1">
      <c r="A165" s="323"/>
      <c r="B165" s="283">
        <v>426</v>
      </c>
      <c r="C165" s="273"/>
      <c r="D165" s="70" t="s">
        <v>229</v>
      </c>
      <c r="E165" s="270">
        <f>E166</f>
        <v>0</v>
      </c>
      <c r="F165" s="270">
        <f>F166</f>
        <v>0</v>
      </c>
      <c r="G165" s="270">
        <f>G166</f>
        <v>0</v>
      </c>
      <c r="H165" s="270">
        <f>H166</f>
        <v>0</v>
      </c>
      <c r="I165" s="304"/>
      <c r="J165" s="304"/>
      <c r="K165" s="246"/>
      <c r="L165" s="246"/>
      <c r="M165" s="246"/>
      <c r="N165" s="246"/>
      <c r="O165" s="246"/>
      <c r="P165" s="246"/>
      <c r="Q165" s="246"/>
      <c r="R165" s="246"/>
    </row>
    <row r="166" spans="1:18" s="235" customFormat="1" ht="15" hidden="1">
      <c r="A166" s="327"/>
      <c r="B166" s="277">
        <v>4262</v>
      </c>
      <c r="C166" s="274"/>
      <c r="D166" s="71" t="s">
        <v>230</v>
      </c>
      <c r="E166" s="272">
        <f t="shared" si="14"/>
        <v>0</v>
      </c>
      <c r="F166" s="272"/>
      <c r="G166" s="272">
        <v>0</v>
      </c>
      <c r="H166" s="272">
        <v>0</v>
      </c>
      <c r="I166" s="302"/>
      <c r="J166" s="304"/>
      <c r="K166" s="234"/>
      <c r="L166" s="234"/>
      <c r="M166" s="234"/>
      <c r="N166" s="234"/>
      <c r="O166" s="234"/>
      <c r="P166" s="234"/>
      <c r="Q166" s="234"/>
      <c r="R166" s="234"/>
    </row>
    <row r="167" spans="1:18" s="235" customFormat="1" ht="15" hidden="1">
      <c r="A167" s="327"/>
      <c r="B167" s="265" t="s">
        <v>231</v>
      </c>
      <c r="C167" s="266"/>
      <c r="D167" s="324" t="s">
        <v>232</v>
      </c>
      <c r="E167" s="287">
        <f>E168+E170</f>
        <v>0</v>
      </c>
      <c r="F167" s="287">
        <f>F168+F170</f>
        <v>0</v>
      </c>
      <c r="G167" s="287">
        <f>G168</f>
        <v>39883.21</v>
      </c>
      <c r="H167" s="287">
        <f>H168</f>
        <v>0</v>
      </c>
      <c r="I167" s="301" t="e">
        <f>SUM(H167/E167*100)</f>
        <v>#DIV/0!</v>
      </c>
      <c r="J167" s="301">
        <f>SUM(H167/G167*100)</f>
        <v>0</v>
      </c>
      <c r="K167" s="234"/>
      <c r="L167" s="234"/>
      <c r="M167" s="234"/>
      <c r="N167" s="234"/>
      <c r="O167" s="234"/>
      <c r="P167" s="234"/>
      <c r="Q167" s="234"/>
      <c r="R167" s="234"/>
    </row>
    <row r="168" spans="1:18" s="235" customFormat="1" ht="15" hidden="1">
      <c r="A168" s="327"/>
      <c r="B168" s="269" t="s">
        <v>233</v>
      </c>
      <c r="C168" s="89"/>
      <c r="D168" s="264" t="s">
        <v>234</v>
      </c>
      <c r="E168" s="270">
        <f>E169</f>
        <v>0</v>
      </c>
      <c r="F168" s="270">
        <f>F169</f>
        <v>0</v>
      </c>
      <c r="G168" s="270">
        <f>G169</f>
        <v>39883.21</v>
      </c>
      <c r="H168" s="270">
        <f>H169</f>
        <v>0</v>
      </c>
      <c r="I168" s="302"/>
      <c r="J168" s="304"/>
      <c r="K168" s="234"/>
      <c r="L168" s="234"/>
      <c r="M168" s="234"/>
      <c r="N168" s="234"/>
      <c r="O168" s="234"/>
      <c r="P168" s="234"/>
      <c r="Q168" s="234"/>
      <c r="R168" s="234"/>
    </row>
    <row r="169" spans="1:18" s="235" customFormat="1" ht="15" hidden="1">
      <c r="A169" s="327"/>
      <c r="B169" s="271" t="s">
        <v>235</v>
      </c>
      <c r="C169" s="89"/>
      <c r="D169" s="89" t="s">
        <v>234</v>
      </c>
      <c r="E169" s="272">
        <f t="shared" si="14"/>
        <v>0</v>
      </c>
      <c r="F169" s="272"/>
      <c r="G169" s="272">
        <f>21633.82+18249.39</f>
        <v>39883.21</v>
      </c>
      <c r="H169" s="272">
        <v>0</v>
      </c>
      <c r="I169" s="302"/>
      <c r="J169" s="304"/>
      <c r="K169" s="234"/>
      <c r="L169" s="234"/>
      <c r="M169" s="234"/>
      <c r="N169" s="234"/>
      <c r="O169" s="234"/>
      <c r="P169" s="234"/>
      <c r="Q169" s="234"/>
      <c r="R169" s="234"/>
    </row>
    <row r="170" spans="1:18" s="235" customFormat="1" ht="15" hidden="1">
      <c r="A170" s="327"/>
      <c r="B170" s="269" t="s">
        <v>236</v>
      </c>
      <c r="C170" s="264"/>
      <c r="D170" s="264" t="s">
        <v>237</v>
      </c>
      <c r="E170" s="270">
        <f>E171</f>
        <v>0</v>
      </c>
      <c r="F170" s="270">
        <f>F171</f>
        <v>0</v>
      </c>
      <c r="G170" s="270">
        <f>G171</f>
        <v>0</v>
      </c>
      <c r="H170" s="270">
        <f>H171</f>
        <v>0</v>
      </c>
      <c r="I170" s="304"/>
      <c r="J170" s="304"/>
      <c r="K170" s="234"/>
      <c r="L170" s="234"/>
      <c r="M170" s="234"/>
      <c r="N170" s="234"/>
      <c r="O170" s="234"/>
      <c r="P170" s="234"/>
      <c r="Q170" s="234"/>
      <c r="R170" s="234"/>
    </row>
    <row r="171" spans="1:18" s="235" customFormat="1" ht="15" hidden="1">
      <c r="A171" s="327"/>
      <c r="B171" s="271" t="s">
        <v>238</v>
      </c>
      <c r="C171" s="89"/>
      <c r="D171" s="89" t="s">
        <v>239</v>
      </c>
      <c r="E171" s="272">
        <f>F171/7.5345</f>
        <v>0</v>
      </c>
      <c r="F171" s="272"/>
      <c r="G171" s="272">
        <v>0</v>
      </c>
      <c r="H171" s="272">
        <v>0</v>
      </c>
      <c r="I171" s="302"/>
      <c r="J171" s="304"/>
      <c r="K171" s="234"/>
      <c r="L171" s="234"/>
      <c r="M171" s="234"/>
      <c r="N171" s="234"/>
      <c r="O171" s="234"/>
      <c r="P171" s="234"/>
      <c r="Q171" s="234"/>
      <c r="R171" s="234"/>
    </row>
    <row r="172" spans="1:18" s="235" customFormat="1" ht="15" hidden="1">
      <c r="A172" s="328"/>
      <c r="B172" s="329"/>
      <c r="C172" s="330">
        <v>43</v>
      </c>
      <c r="D172" s="331" t="s">
        <v>86</v>
      </c>
      <c r="E172" s="332">
        <f>E149+E85</f>
        <v>0</v>
      </c>
      <c r="F172" s="332">
        <f>F149+F85</f>
        <v>0</v>
      </c>
      <c r="G172" s="332">
        <f>G149+G85</f>
        <v>59462511.65999999</v>
      </c>
      <c r="H172" s="332">
        <f>H149+H85</f>
        <v>0</v>
      </c>
      <c r="I172" s="334" t="e">
        <f>SUM(H172/E172*100)</f>
        <v>#DIV/0!</v>
      </c>
      <c r="J172" s="360">
        <f>SUM(H172/G172*100)</f>
        <v>0</v>
      </c>
      <c r="K172" s="234"/>
      <c r="L172" s="234"/>
      <c r="M172" s="234"/>
      <c r="N172" s="234"/>
      <c r="O172" s="234"/>
      <c r="P172" s="234"/>
      <c r="Q172" s="234"/>
      <c r="R172" s="234"/>
    </row>
    <row r="173" spans="1:18" s="235" customFormat="1" ht="15" hidden="1">
      <c r="A173" s="260" t="s">
        <v>121</v>
      </c>
      <c r="B173" s="260"/>
      <c r="C173" s="261"/>
      <c r="D173" s="262" t="s">
        <v>122</v>
      </c>
      <c r="E173" s="263">
        <f>E174+E184+E215+E221+E224</f>
        <v>0</v>
      </c>
      <c r="F173" s="263">
        <f>F174+F184+F215+F221+F224</f>
        <v>0</v>
      </c>
      <c r="G173" s="263">
        <f>G174+G184+G221+G215+G224</f>
        <v>4824119.85</v>
      </c>
      <c r="H173" s="263">
        <f>H174+H184+H215+H221+H224</f>
        <v>0</v>
      </c>
      <c r="I173" s="299" t="e">
        <f>SUM(H173/E173*100)</f>
        <v>#DIV/0!</v>
      </c>
      <c r="J173" s="299">
        <f>SUM(H173/G173*100)</f>
        <v>0</v>
      </c>
      <c r="K173" s="234"/>
      <c r="L173" s="234"/>
      <c r="M173" s="234"/>
      <c r="N173" s="234"/>
      <c r="O173" s="234"/>
      <c r="P173" s="234"/>
      <c r="Q173" s="234"/>
      <c r="R173" s="234"/>
    </row>
    <row r="174" spans="1:18" s="235" customFormat="1" ht="15" hidden="1">
      <c r="A174" s="264"/>
      <c r="B174" s="265">
        <v>31</v>
      </c>
      <c r="C174" s="266"/>
      <c r="D174" s="267" t="s">
        <v>123</v>
      </c>
      <c r="E174" s="268">
        <f>E175+E180+E182</f>
        <v>0</v>
      </c>
      <c r="F174" s="268">
        <f>F175+F180+F182</f>
        <v>0</v>
      </c>
      <c r="G174" s="268">
        <f>G175+G180+G182</f>
        <v>1554293.06</v>
      </c>
      <c r="H174" s="268">
        <f>H175+H180+H182</f>
        <v>0</v>
      </c>
      <c r="I174" s="301" t="e">
        <f>SUM(H174/E174*100)</f>
        <v>#DIV/0!</v>
      </c>
      <c r="J174" s="301">
        <f>SUM(H174/G174*100)</f>
        <v>0</v>
      </c>
      <c r="K174" s="234"/>
      <c r="L174" s="234"/>
      <c r="M174" s="234"/>
      <c r="N174" s="234"/>
      <c r="O174" s="234"/>
      <c r="P174" s="234"/>
      <c r="Q174" s="234"/>
      <c r="R174" s="234"/>
    </row>
    <row r="175" spans="1:18" s="235" customFormat="1" ht="15" hidden="1">
      <c r="A175" s="264"/>
      <c r="B175" s="269">
        <v>311</v>
      </c>
      <c r="C175" s="89"/>
      <c r="D175" s="264" t="s">
        <v>124</v>
      </c>
      <c r="E175" s="270">
        <f>SUM(E176:E179)</f>
        <v>0</v>
      </c>
      <c r="F175" s="270">
        <f>SUM(F176:F179)</f>
        <v>0</v>
      </c>
      <c r="G175" s="270">
        <f>SUM(G176:G179)</f>
        <v>1340372.43</v>
      </c>
      <c r="H175" s="270">
        <f>SUM(H176:H179)</f>
        <v>0</v>
      </c>
      <c r="I175" s="302"/>
      <c r="J175" s="302"/>
      <c r="K175" s="234"/>
      <c r="L175" s="234"/>
      <c r="M175" s="234"/>
      <c r="N175" s="234"/>
      <c r="O175" s="234"/>
      <c r="P175" s="234"/>
      <c r="Q175" s="234"/>
      <c r="R175" s="234"/>
    </row>
    <row r="176" spans="1:18" s="235" customFormat="1" ht="15" hidden="1">
      <c r="A176" s="89"/>
      <c r="B176" s="271">
        <v>3111</v>
      </c>
      <c r="C176" s="89"/>
      <c r="D176" s="89" t="s">
        <v>125</v>
      </c>
      <c r="E176" s="272">
        <f>F176/7.5345</f>
        <v>0</v>
      </c>
      <c r="F176" s="272"/>
      <c r="G176" s="272">
        <f>1263658.65+72997.54</f>
        <v>1336656.19</v>
      </c>
      <c r="H176" s="272"/>
      <c r="I176" s="302"/>
      <c r="J176" s="304"/>
      <c r="K176" s="234"/>
      <c r="L176" s="234"/>
      <c r="M176" s="234"/>
      <c r="N176" s="234"/>
      <c r="O176" s="234"/>
      <c r="P176" s="234"/>
      <c r="Q176" s="234"/>
      <c r="R176" s="234"/>
    </row>
    <row r="177" spans="1:18" s="236" customFormat="1" ht="15" hidden="1">
      <c r="A177" s="89"/>
      <c r="B177" s="271" t="s">
        <v>126</v>
      </c>
      <c r="C177" s="89"/>
      <c r="D177" s="89" t="s">
        <v>127</v>
      </c>
      <c r="E177" s="272">
        <f>F177/7.5345</f>
        <v>0</v>
      </c>
      <c r="F177" s="272">
        <v>0</v>
      </c>
      <c r="G177" s="272">
        <v>0</v>
      </c>
      <c r="H177" s="272">
        <v>0</v>
      </c>
      <c r="I177" s="302"/>
      <c r="J177" s="304"/>
      <c r="K177" s="246"/>
      <c r="L177" s="246"/>
      <c r="M177" s="246"/>
      <c r="N177" s="246"/>
      <c r="O177" s="246"/>
      <c r="P177" s="246"/>
      <c r="Q177" s="246"/>
      <c r="R177" s="246"/>
    </row>
    <row r="178" spans="1:18" s="236" customFormat="1" ht="15" hidden="1">
      <c r="A178" s="89"/>
      <c r="B178" s="271" t="s">
        <v>128</v>
      </c>
      <c r="C178" s="89"/>
      <c r="D178" s="89" t="s">
        <v>129</v>
      </c>
      <c r="E178" s="272">
        <f>F178/7.5345</f>
        <v>0</v>
      </c>
      <c r="F178" s="272">
        <v>0</v>
      </c>
      <c r="G178" s="272">
        <v>0</v>
      </c>
      <c r="H178" s="272">
        <v>0</v>
      </c>
      <c r="I178" s="304"/>
      <c r="J178" s="304"/>
      <c r="K178" s="246"/>
      <c r="L178" s="246"/>
      <c r="M178" s="246"/>
      <c r="N178" s="246"/>
      <c r="O178" s="246"/>
      <c r="P178" s="246"/>
      <c r="Q178" s="246"/>
      <c r="R178" s="246"/>
    </row>
    <row r="179" spans="1:18" s="235" customFormat="1" ht="15.75" customHeight="1" hidden="1">
      <c r="A179" s="89"/>
      <c r="B179" s="271" t="s">
        <v>130</v>
      </c>
      <c r="C179" s="89"/>
      <c r="D179" s="89" t="s">
        <v>131</v>
      </c>
      <c r="E179" s="272">
        <f>F179/7.5345</f>
        <v>0</v>
      </c>
      <c r="F179" s="272"/>
      <c r="G179" s="272">
        <v>3716.24</v>
      </c>
      <c r="H179" s="272">
        <v>0</v>
      </c>
      <c r="I179" s="304"/>
      <c r="J179" s="304"/>
      <c r="K179" s="234"/>
      <c r="L179" s="234"/>
      <c r="M179" s="234"/>
      <c r="N179" s="234"/>
      <c r="O179" s="234"/>
      <c r="P179" s="234"/>
      <c r="Q179" s="234"/>
      <c r="R179" s="234"/>
    </row>
    <row r="180" spans="1:18" s="235" customFormat="1" ht="15.75" customHeight="1" hidden="1">
      <c r="A180" s="264"/>
      <c r="B180" s="269" t="s">
        <v>132</v>
      </c>
      <c r="C180" s="264"/>
      <c r="D180" s="264" t="s">
        <v>133</v>
      </c>
      <c r="E180" s="270">
        <f>SUM(E181)</f>
        <v>0</v>
      </c>
      <c r="F180" s="270">
        <f>SUM(F181)</f>
        <v>0</v>
      </c>
      <c r="G180" s="270">
        <f>SUM(G181)</f>
        <v>124709.13</v>
      </c>
      <c r="H180" s="270">
        <f>SUM(H181)</f>
        <v>0</v>
      </c>
      <c r="I180" s="304"/>
      <c r="J180" s="304"/>
      <c r="K180" s="234"/>
      <c r="L180" s="234"/>
      <c r="M180" s="234"/>
      <c r="N180" s="234"/>
      <c r="O180" s="234"/>
      <c r="P180" s="234"/>
      <c r="Q180" s="234"/>
      <c r="R180" s="234"/>
    </row>
    <row r="181" spans="1:18" s="235" customFormat="1" ht="15.75" customHeight="1" hidden="1">
      <c r="A181" s="89"/>
      <c r="B181" s="271" t="s">
        <v>134</v>
      </c>
      <c r="C181" s="89"/>
      <c r="D181" s="89" t="s">
        <v>133</v>
      </c>
      <c r="E181" s="272">
        <f aca="true" t="shared" si="15" ref="E181:E189">F181/7.5345</f>
        <v>0</v>
      </c>
      <c r="F181" s="272"/>
      <c r="G181" s="272">
        <f>118736.6+5972.53</f>
        <v>124709.13</v>
      </c>
      <c r="H181" s="272"/>
      <c r="I181" s="304"/>
      <c r="J181" s="304"/>
      <c r="K181" s="234"/>
      <c r="L181" s="234"/>
      <c r="M181" s="234"/>
      <c r="N181" s="234"/>
      <c r="O181" s="234"/>
      <c r="P181" s="234"/>
      <c r="Q181" s="234"/>
      <c r="R181" s="234"/>
    </row>
    <row r="182" spans="1:18" s="236" customFormat="1" ht="15.75" customHeight="1" hidden="1">
      <c r="A182" s="264"/>
      <c r="B182" s="273">
        <v>313</v>
      </c>
      <c r="C182" s="264"/>
      <c r="D182" s="264" t="s">
        <v>135</v>
      </c>
      <c r="E182" s="35">
        <f>SUM(E183:E183)</f>
        <v>0</v>
      </c>
      <c r="F182" s="35">
        <f>SUM(F183:F183)</f>
        <v>0</v>
      </c>
      <c r="G182" s="35">
        <f>SUM(G183:G183)</f>
        <v>89211.5</v>
      </c>
      <c r="H182" s="35">
        <f>SUM(H183:H183)</f>
        <v>0</v>
      </c>
      <c r="I182" s="302"/>
      <c r="J182" s="638"/>
      <c r="K182" s="246"/>
      <c r="L182" s="246"/>
      <c r="M182" s="246"/>
      <c r="N182" s="246"/>
      <c r="O182" s="246"/>
      <c r="P182" s="246"/>
      <c r="Q182" s="246"/>
      <c r="R182" s="246"/>
    </row>
    <row r="183" spans="1:18" s="236" customFormat="1" ht="15.75" customHeight="1" hidden="1">
      <c r="A183" s="89"/>
      <c r="B183" s="274">
        <v>3132</v>
      </c>
      <c r="C183" s="89"/>
      <c r="D183" s="89" t="s">
        <v>136</v>
      </c>
      <c r="E183" s="272">
        <f t="shared" si="15"/>
        <v>0</v>
      </c>
      <c r="F183" s="37"/>
      <c r="G183" s="37">
        <f>69966.69+19244.81</f>
        <v>89211.5</v>
      </c>
      <c r="H183" s="37"/>
      <c r="I183" s="302"/>
      <c r="J183" s="638"/>
      <c r="K183" s="246"/>
      <c r="L183" s="246"/>
      <c r="M183" s="246"/>
      <c r="N183" s="246"/>
      <c r="O183" s="246"/>
      <c r="P183" s="246"/>
      <c r="Q183" s="246"/>
      <c r="R183" s="246"/>
    </row>
    <row r="184" spans="1:18" s="236" customFormat="1" ht="17.25" customHeight="1" hidden="1">
      <c r="A184" s="264"/>
      <c r="B184" s="265">
        <v>32</v>
      </c>
      <c r="C184" s="266"/>
      <c r="D184" s="267" t="s">
        <v>137</v>
      </c>
      <c r="E184" s="268">
        <f>E185+E190+E197+E207</f>
        <v>0</v>
      </c>
      <c r="F184" s="268">
        <f>F185+F190+F197+F207</f>
        <v>0</v>
      </c>
      <c r="G184" s="268">
        <f>G185+G190+G197+G207</f>
        <v>3251678.54</v>
      </c>
      <c r="H184" s="268">
        <f>H185+H190+H197+H207</f>
        <v>0</v>
      </c>
      <c r="I184" s="301" t="e">
        <f>SUM(H184/E184*100)</f>
        <v>#DIV/0!</v>
      </c>
      <c r="J184" s="301">
        <f>SUM(H184/G184*100)</f>
        <v>0</v>
      </c>
      <c r="K184" s="246"/>
      <c r="L184" s="246"/>
      <c r="M184" s="246"/>
      <c r="N184" s="246"/>
      <c r="O184" s="246"/>
      <c r="P184" s="246"/>
      <c r="Q184" s="246"/>
      <c r="R184" s="246"/>
    </row>
    <row r="185" spans="1:18" s="236" customFormat="1" ht="15.75" customHeight="1" hidden="1">
      <c r="A185" s="264"/>
      <c r="B185" s="269">
        <v>321</v>
      </c>
      <c r="C185" s="264"/>
      <c r="D185" s="264" t="s">
        <v>138</v>
      </c>
      <c r="E185" s="270">
        <f>SUM(E186:E189)</f>
        <v>0</v>
      </c>
      <c r="F185" s="270">
        <f>SUM(F186:F189)</f>
        <v>0</v>
      </c>
      <c r="G185" s="270">
        <f>SUM(G186:G189)</f>
        <v>144375.34999999998</v>
      </c>
      <c r="H185" s="270">
        <f>SUM(H186:H189)</f>
        <v>0</v>
      </c>
      <c r="I185" s="302"/>
      <c r="J185" s="304"/>
      <c r="K185" s="246"/>
      <c r="L185" s="246"/>
      <c r="M185" s="246"/>
      <c r="N185" s="246"/>
      <c r="O185" s="246"/>
      <c r="P185" s="246"/>
      <c r="Q185" s="246"/>
      <c r="R185" s="246"/>
    </row>
    <row r="186" spans="1:18" s="236" customFormat="1" ht="15.75" customHeight="1" hidden="1">
      <c r="A186" s="89"/>
      <c r="B186" s="271" t="s">
        <v>139</v>
      </c>
      <c r="C186" s="89"/>
      <c r="D186" s="89" t="s">
        <v>140</v>
      </c>
      <c r="E186" s="272">
        <f t="shared" si="15"/>
        <v>0</v>
      </c>
      <c r="F186" s="272"/>
      <c r="G186" s="272">
        <v>10269.3</v>
      </c>
      <c r="H186" s="272"/>
      <c r="I186" s="302"/>
      <c r="J186" s="304"/>
      <c r="K186" s="246"/>
      <c r="L186" s="246"/>
      <c r="M186" s="246"/>
      <c r="N186" s="246"/>
      <c r="O186" s="246"/>
      <c r="P186" s="246"/>
      <c r="Q186" s="246"/>
      <c r="R186" s="246"/>
    </row>
    <row r="187" spans="1:18" s="236" customFormat="1" ht="15.75" customHeight="1" hidden="1">
      <c r="A187" s="89"/>
      <c r="B187" s="271" t="s">
        <v>141</v>
      </c>
      <c r="C187" s="89"/>
      <c r="D187" s="275" t="s">
        <v>142</v>
      </c>
      <c r="E187" s="272">
        <f t="shared" si="15"/>
        <v>0</v>
      </c>
      <c r="F187" s="272"/>
      <c r="G187" s="272">
        <f>114312.43+9290.6</f>
        <v>123603.03</v>
      </c>
      <c r="H187" s="272"/>
      <c r="I187" s="302"/>
      <c r="J187" s="304"/>
      <c r="K187" s="246"/>
      <c r="L187" s="246"/>
      <c r="M187" s="246"/>
      <c r="N187" s="246"/>
      <c r="O187" s="246"/>
      <c r="P187" s="246"/>
      <c r="Q187" s="246"/>
      <c r="R187" s="246"/>
    </row>
    <row r="188" spans="1:18" s="236" customFormat="1" ht="15.75" customHeight="1" hidden="1">
      <c r="A188" s="89"/>
      <c r="B188" s="271" t="s">
        <v>143</v>
      </c>
      <c r="C188" s="89"/>
      <c r="D188" s="275" t="s">
        <v>144</v>
      </c>
      <c r="E188" s="272">
        <f t="shared" si="15"/>
        <v>0</v>
      </c>
      <c r="F188" s="272"/>
      <c r="G188" s="272">
        <v>10503.02</v>
      </c>
      <c r="H188" s="272"/>
      <c r="I188" s="302"/>
      <c r="J188" s="304"/>
      <c r="K188" s="246"/>
      <c r="L188" s="246"/>
      <c r="M188" s="246"/>
      <c r="N188" s="246"/>
      <c r="O188" s="246"/>
      <c r="P188" s="246"/>
      <c r="Q188" s="246"/>
      <c r="R188" s="246"/>
    </row>
    <row r="189" spans="1:18" s="236" customFormat="1" ht="15.75" customHeight="1" hidden="1">
      <c r="A189" s="89"/>
      <c r="B189" s="271" t="s">
        <v>145</v>
      </c>
      <c r="C189" s="89"/>
      <c r="D189" s="275" t="s">
        <v>146</v>
      </c>
      <c r="E189" s="272">
        <f t="shared" si="15"/>
        <v>0</v>
      </c>
      <c r="F189" s="272">
        <v>0</v>
      </c>
      <c r="G189" s="272">
        <v>0</v>
      </c>
      <c r="H189" s="272">
        <v>0</v>
      </c>
      <c r="I189" s="302"/>
      <c r="J189" s="304"/>
      <c r="K189" s="246"/>
      <c r="L189" s="246"/>
      <c r="M189" s="246"/>
      <c r="N189" s="246"/>
      <c r="O189" s="246"/>
      <c r="P189" s="246"/>
      <c r="Q189" s="246"/>
      <c r="R189" s="246"/>
    </row>
    <row r="190" spans="1:18" s="236" customFormat="1" ht="15.75" customHeight="1" hidden="1">
      <c r="A190" s="264"/>
      <c r="B190" s="269" t="s">
        <v>147</v>
      </c>
      <c r="C190" s="264"/>
      <c r="D190" s="276" t="s">
        <v>148</v>
      </c>
      <c r="E190" s="270">
        <f>SUM(E191:E196)</f>
        <v>0</v>
      </c>
      <c r="F190" s="270">
        <f>SUM(F191:F196)</f>
        <v>0</v>
      </c>
      <c r="G190" s="270">
        <f>SUM(G191:G196)</f>
        <v>2761826.91</v>
      </c>
      <c r="H190" s="270">
        <f>SUM(H191:H196)</f>
        <v>0</v>
      </c>
      <c r="I190" s="302"/>
      <c r="J190" s="304"/>
      <c r="K190" s="246"/>
      <c r="L190" s="246"/>
      <c r="M190" s="246"/>
      <c r="N190" s="246"/>
      <c r="O190" s="246"/>
      <c r="P190" s="246"/>
      <c r="Q190" s="246"/>
      <c r="R190" s="246"/>
    </row>
    <row r="191" spans="1:18" s="236" customFormat="1" ht="15.75" customHeight="1" hidden="1">
      <c r="A191" s="264"/>
      <c r="B191" s="271" t="s">
        <v>149</v>
      </c>
      <c r="C191" s="264"/>
      <c r="D191" s="89" t="s">
        <v>150</v>
      </c>
      <c r="E191" s="272">
        <f aca="true" t="shared" si="16" ref="E191:E196">F191/7.5345</f>
        <v>0</v>
      </c>
      <c r="F191" s="272"/>
      <c r="G191" s="272">
        <f>7846.44+5308.91</f>
        <v>13155.349999999999</v>
      </c>
      <c r="H191" s="272"/>
      <c r="I191" s="302"/>
      <c r="J191" s="304"/>
      <c r="K191" s="246"/>
      <c r="L191" s="246"/>
      <c r="M191" s="246"/>
      <c r="N191" s="246"/>
      <c r="O191" s="246"/>
      <c r="P191" s="246"/>
      <c r="Q191" s="246"/>
      <c r="R191" s="246"/>
    </row>
    <row r="192" spans="1:18" s="235" customFormat="1" ht="15.75" customHeight="1" hidden="1">
      <c r="A192" s="264"/>
      <c r="B192" s="271" t="s">
        <v>151</v>
      </c>
      <c r="C192" s="264"/>
      <c r="D192" s="89" t="s">
        <v>152</v>
      </c>
      <c r="E192" s="272">
        <f t="shared" si="16"/>
        <v>0</v>
      </c>
      <c r="F192" s="272"/>
      <c r="G192" s="272">
        <f>2489044.39+19908.42</f>
        <v>2508952.81</v>
      </c>
      <c r="H192" s="272"/>
      <c r="I192" s="302"/>
      <c r="J192" s="304"/>
      <c r="K192" s="234"/>
      <c r="L192" s="234"/>
      <c r="M192" s="234"/>
      <c r="N192" s="234"/>
      <c r="O192" s="234"/>
      <c r="P192" s="234"/>
      <c r="Q192" s="234"/>
      <c r="R192" s="234"/>
    </row>
    <row r="193" spans="1:18" s="235" customFormat="1" ht="15" hidden="1">
      <c r="A193" s="264"/>
      <c r="B193" s="271" t="s">
        <v>153</v>
      </c>
      <c r="C193" s="264"/>
      <c r="D193" s="89" t="s">
        <v>154</v>
      </c>
      <c r="E193" s="272">
        <f t="shared" si="16"/>
        <v>0</v>
      </c>
      <c r="F193" s="272"/>
      <c r="G193" s="272">
        <f>214555.97+4645.3</f>
        <v>219201.27</v>
      </c>
      <c r="H193" s="272"/>
      <c r="I193" s="302"/>
      <c r="J193" s="304"/>
      <c r="K193" s="234"/>
      <c r="L193" s="234"/>
      <c r="M193" s="234"/>
      <c r="N193" s="234"/>
      <c r="O193" s="234"/>
      <c r="P193" s="234"/>
      <c r="Q193" s="234"/>
      <c r="R193" s="234"/>
    </row>
    <row r="194" spans="1:18" s="236" customFormat="1" ht="15" hidden="1">
      <c r="A194" s="264"/>
      <c r="B194" s="271" t="s">
        <v>155</v>
      </c>
      <c r="C194" s="264"/>
      <c r="D194" s="275" t="s">
        <v>156</v>
      </c>
      <c r="E194" s="272">
        <f t="shared" si="16"/>
        <v>0</v>
      </c>
      <c r="F194" s="272"/>
      <c r="G194" s="272">
        <f>711.79+464.53</f>
        <v>1176.32</v>
      </c>
      <c r="H194" s="272"/>
      <c r="I194" s="302"/>
      <c r="J194" s="304"/>
      <c r="K194" s="246"/>
      <c r="L194" s="246"/>
      <c r="M194" s="246"/>
      <c r="N194" s="246"/>
      <c r="O194" s="246"/>
      <c r="P194" s="246"/>
      <c r="Q194" s="246"/>
      <c r="R194" s="246"/>
    </row>
    <row r="195" spans="1:18" s="236" customFormat="1" ht="15" hidden="1">
      <c r="A195" s="264"/>
      <c r="B195" s="271" t="s">
        <v>157</v>
      </c>
      <c r="C195" s="264"/>
      <c r="D195" s="275" t="s">
        <v>158</v>
      </c>
      <c r="E195" s="272">
        <f t="shared" si="16"/>
        <v>0</v>
      </c>
      <c r="F195" s="272"/>
      <c r="G195" s="272">
        <f>8059.72+1990.84</f>
        <v>10050.56</v>
      </c>
      <c r="H195" s="272"/>
      <c r="I195" s="302"/>
      <c r="J195" s="304"/>
      <c r="K195" s="246"/>
      <c r="L195" s="246"/>
      <c r="M195" s="246"/>
      <c r="N195" s="246"/>
      <c r="O195" s="246"/>
      <c r="P195" s="246"/>
      <c r="Q195" s="246"/>
      <c r="R195" s="246"/>
    </row>
    <row r="196" spans="1:18" s="236" customFormat="1" ht="15" hidden="1">
      <c r="A196" s="264"/>
      <c r="B196" s="271" t="s">
        <v>159</v>
      </c>
      <c r="C196" s="264"/>
      <c r="D196" s="275" t="s">
        <v>160</v>
      </c>
      <c r="E196" s="272">
        <f t="shared" si="16"/>
        <v>0</v>
      </c>
      <c r="F196" s="272">
        <v>0</v>
      </c>
      <c r="G196" s="272">
        <v>9290.6</v>
      </c>
      <c r="H196" s="272">
        <v>0</v>
      </c>
      <c r="I196" s="302"/>
      <c r="J196" s="304"/>
      <c r="K196" s="246"/>
      <c r="L196" s="246"/>
      <c r="M196" s="246"/>
      <c r="N196" s="246"/>
      <c r="O196" s="246"/>
      <c r="P196" s="246"/>
      <c r="Q196" s="246"/>
      <c r="R196" s="246"/>
    </row>
    <row r="197" spans="1:18" s="236" customFormat="1" ht="15" hidden="1">
      <c r="A197" s="264"/>
      <c r="B197" s="269" t="s">
        <v>161</v>
      </c>
      <c r="C197" s="264"/>
      <c r="D197" s="276" t="s">
        <v>162</v>
      </c>
      <c r="E197" s="270">
        <f>SUM(E198:E206)</f>
        <v>0</v>
      </c>
      <c r="F197" s="270">
        <f>SUM(F198:F206)</f>
        <v>0</v>
      </c>
      <c r="G197" s="270">
        <f>SUM(G198:G206)</f>
        <v>254940.86</v>
      </c>
      <c r="H197" s="270">
        <f>SUM(H198:H206)</f>
        <v>0</v>
      </c>
      <c r="I197" s="302"/>
      <c r="J197" s="304"/>
      <c r="K197" s="246"/>
      <c r="L197" s="246"/>
      <c r="M197" s="246"/>
      <c r="N197" s="246"/>
      <c r="O197" s="246"/>
      <c r="P197" s="246"/>
      <c r="Q197" s="246"/>
      <c r="R197" s="246"/>
    </row>
    <row r="198" spans="1:18" s="236" customFormat="1" ht="15" hidden="1">
      <c r="A198" s="264"/>
      <c r="B198" s="271" t="s">
        <v>163</v>
      </c>
      <c r="C198" s="264"/>
      <c r="D198" s="275" t="s">
        <v>164</v>
      </c>
      <c r="E198" s="272">
        <f aca="true" t="shared" si="17" ref="E198:E206">F198/7.5345</f>
        <v>0</v>
      </c>
      <c r="F198" s="272"/>
      <c r="G198" s="272">
        <v>44747.89</v>
      </c>
      <c r="H198" s="272"/>
      <c r="I198" s="302"/>
      <c r="J198" s="304"/>
      <c r="K198" s="246"/>
      <c r="L198" s="246"/>
      <c r="M198" s="246"/>
      <c r="N198" s="246"/>
      <c r="O198" s="246"/>
      <c r="P198" s="246"/>
      <c r="Q198" s="246"/>
      <c r="R198" s="246"/>
    </row>
    <row r="199" spans="1:18" s="236" customFormat="1" ht="15" hidden="1">
      <c r="A199" s="264"/>
      <c r="B199" s="271" t="s">
        <v>165</v>
      </c>
      <c r="C199" s="264"/>
      <c r="D199" s="275" t="s">
        <v>166</v>
      </c>
      <c r="E199" s="272">
        <f t="shared" si="17"/>
        <v>0</v>
      </c>
      <c r="F199" s="272"/>
      <c r="G199" s="272">
        <f>71006.7+199.08</f>
        <v>71205.78</v>
      </c>
      <c r="H199" s="272"/>
      <c r="I199" s="302"/>
      <c r="J199" s="304"/>
      <c r="K199" s="246"/>
      <c r="L199" s="246"/>
      <c r="M199" s="246"/>
      <c r="N199" s="246"/>
      <c r="O199" s="246"/>
      <c r="P199" s="246"/>
      <c r="Q199" s="246"/>
      <c r="R199" s="246"/>
    </row>
    <row r="200" spans="1:18" s="236" customFormat="1" ht="15" hidden="1">
      <c r="A200" s="264"/>
      <c r="B200" s="271" t="s">
        <v>167</v>
      </c>
      <c r="C200" s="264"/>
      <c r="D200" s="275" t="s">
        <v>168</v>
      </c>
      <c r="E200" s="272">
        <f t="shared" si="17"/>
        <v>0</v>
      </c>
      <c r="F200" s="272"/>
      <c r="G200" s="272">
        <f>5939.21+663.61</f>
        <v>6602.82</v>
      </c>
      <c r="H200" s="272"/>
      <c r="I200" s="302"/>
      <c r="J200" s="304"/>
      <c r="K200" s="246"/>
      <c r="L200" s="246"/>
      <c r="M200" s="246"/>
      <c r="N200" s="246"/>
      <c r="O200" s="246"/>
      <c r="P200" s="246"/>
      <c r="Q200" s="246"/>
      <c r="R200" s="246"/>
    </row>
    <row r="201" spans="1:18" s="236" customFormat="1" ht="15" hidden="1">
      <c r="A201" s="264"/>
      <c r="B201" s="277" t="s">
        <v>169</v>
      </c>
      <c r="C201" s="278"/>
      <c r="D201" s="279" t="s">
        <v>170</v>
      </c>
      <c r="E201" s="272">
        <f t="shared" si="17"/>
        <v>0</v>
      </c>
      <c r="F201" s="272"/>
      <c r="G201" s="272">
        <v>7296.17</v>
      </c>
      <c r="H201" s="272"/>
      <c r="I201" s="302"/>
      <c r="J201" s="304"/>
      <c r="K201" s="246"/>
      <c r="L201" s="246"/>
      <c r="M201" s="246"/>
      <c r="N201" s="246"/>
      <c r="O201" s="246"/>
      <c r="P201" s="246"/>
      <c r="Q201" s="246"/>
      <c r="R201" s="246"/>
    </row>
    <row r="202" spans="1:18" s="236" customFormat="1" ht="15" hidden="1">
      <c r="A202" s="264"/>
      <c r="B202" s="277">
        <v>3235</v>
      </c>
      <c r="C202" s="278"/>
      <c r="D202" s="279" t="s">
        <v>171</v>
      </c>
      <c r="E202" s="272">
        <f t="shared" si="17"/>
        <v>0</v>
      </c>
      <c r="F202" s="272"/>
      <c r="G202" s="272">
        <v>1779.55</v>
      </c>
      <c r="H202" s="272"/>
      <c r="I202" s="302"/>
      <c r="J202" s="304"/>
      <c r="K202" s="246"/>
      <c r="L202" s="246"/>
      <c r="M202" s="246"/>
      <c r="N202" s="246"/>
      <c r="O202" s="246"/>
      <c r="P202" s="246"/>
      <c r="Q202" s="246"/>
      <c r="R202" s="246"/>
    </row>
    <row r="203" spans="1:18" s="236" customFormat="1" ht="15" hidden="1">
      <c r="A203" s="264"/>
      <c r="B203" s="277">
        <v>3236</v>
      </c>
      <c r="C203" s="278"/>
      <c r="D203" s="279" t="s">
        <v>172</v>
      </c>
      <c r="E203" s="272">
        <f t="shared" si="17"/>
        <v>0</v>
      </c>
      <c r="F203" s="272"/>
      <c r="G203" s="272">
        <v>2654.46</v>
      </c>
      <c r="H203" s="272"/>
      <c r="I203" s="302"/>
      <c r="J203" s="304"/>
      <c r="K203" s="246"/>
      <c r="L203" s="246"/>
      <c r="M203" s="246"/>
      <c r="N203" s="246"/>
      <c r="O203" s="246"/>
      <c r="P203" s="246"/>
      <c r="Q203" s="246"/>
      <c r="R203" s="246"/>
    </row>
    <row r="204" spans="1:18" s="236" customFormat="1" ht="15" hidden="1">
      <c r="A204" s="264"/>
      <c r="B204" s="277">
        <v>3237</v>
      </c>
      <c r="C204" s="278"/>
      <c r="D204" s="279" t="s">
        <v>173</v>
      </c>
      <c r="E204" s="272">
        <f t="shared" si="17"/>
        <v>0</v>
      </c>
      <c r="F204" s="272"/>
      <c r="G204" s="272">
        <v>80051.1</v>
      </c>
      <c r="H204" s="272">
        <v>0</v>
      </c>
      <c r="I204" s="302"/>
      <c r="J204" s="304"/>
      <c r="K204" s="246"/>
      <c r="L204" s="246"/>
      <c r="M204" s="246"/>
      <c r="N204" s="246"/>
      <c r="O204" s="246"/>
      <c r="P204" s="246"/>
      <c r="Q204" s="246"/>
      <c r="R204" s="246"/>
    </row>
    <row r="205" spans="1:18" s="236" customFormat="1" ht="15" hidden="1">
      <c r="A205" s="264"/>
      <c r="B205" s="277" t="s">
        <v>174</v>
      </c>
      <c r="C205" s="278"/>
      <c r="D205" s="279" t="s">
        <v>175</v>
      </c>
      <c r="E205" s="272">
        <f t="shared" si="17"/>
        <v>0</v>
      </c>
      <c r="F205" s="272"/>
      <c r="G205" s="272">
        <v>20620.21</v>
      </c>
      <c r="H205" s="272"/>
      <c r="I205" s="302"/>
      <c r="J205" s="304"/>
      <c r="K205" s="246"/>
      <c r="L205" s="246"/>
      <c r="M205" s="246"/>
      <c r="N205" s="246"/>
      <c r="O205" s="246"/>
      <c r="P205" s="246"/>
      <c r="Q205" s="246"/>
      <c r="R205" s="246"/>
    </row>
    <row r="206" spans="1:18" s="236" customFormat="1" ht="13.5" customHeight="1" hidden="1">
      <c r="A206" s="89"/>
      <c r="B206" s="277" t="s">
        <v>176</v>
      </c>
      <c r="C206" s="278"/>
      <c r="D206" s="279" t="s">
        <v>177</v>
      </c>
      <c r="E206" s="272">
        <f t="shared" si="17"/>
        <v>0</v>
      </c>
      <c r="F206" s="272"/>
      <c r="G206" s="272">
        <f>16664.81+3318.07</f>
        <v>19982.88</v>
      </c>
      <c r="H206" s="272"/>
      <c r="I206" s="302"/>
      <c r="J206" s="304"/>
      <c r="K206" s="246"/>
      <c r="L206" s="246"/>
      <c r="M206" s="246"/>
      <c r="N206" s="246"/>
      <c r="O206" s="246"/>
      <c r="P206" s="246"/>
      <c r="Q206" s="246"/>
      <c r="R206" s="246"/>
    </row>
    <row r="207" spans="1:18" s="235" customFormat="1" ht="15" hidden="1">
      <c r="A207" s="89"/>
      <c r="B207" s="283">
        <v>329</v>
      </c>
      <c r="C207" s="280"/>
      <c r="D207" s="284" t="s">
        <v>179</v>
      </c>
      <c r="E207" s="270">
        <f>SUM(E208:E214)</f>
        <v>0</v>
      </c>
      <c r="F207" s="270">
        <f>SUM(F208:F214)</f>
        <v>0</v>
      </c>
      <c r="G207" s="270">
        <f>SUM(G208:G214)</f>
        <v>90535.42</v>
      </c>
      <c r="H207" s="270">
        <f>SUM(H208:H214)</f>
        <v>0</v>
      </c>
      <c r="I207" s="302"/>
      <c r="J207" s="304"/>
      <c r="K207" s="234"/>
      <c r="L207" s="234"/>
      <c r="M207" s="234"/>
      <c r="N207" s="234"/>
      <c r="O207" s="234"/>
      <c r="P207" s="234"/>
      <c r="Q207" s="234"/>
      <c r="R207" s="234"/>
    </row>
    <row r="208" spans="1:18" s="235" customFormat="1" ht="30" hidden="1">
      <c r="A208" s="89"/>
      <c r="B208" s="277" t="s">
        <v>180</v>
      </c>
      <c r="C208" s="278"/>
      <c r="D208" s="282" t="s">
        <v>181</v>
      </c>
      <c r="E208" s="272">
        <f aca="true" t="shared" si="18" ref="E208:E214">F208/7.5345</f>
        <v>0</v>
      </c>
      <c r="F208" s="272"/>
      <c r="G208" s="272">
        <v>2758.38</v>
      </c>
      <c r="H208" s="272"/>
      <c r="I208" s="302"/>
      <c r="J208" s="304"/>
      <c r="K208" s="234"/>
      <c r="L208" s="234"/>
      <c r="M208" s="234"/>
      <c r="N208" s="234"/>
      <c r="O208" s="234"/>
      <c r="P208" s="234"/>
      <c r="Q208" s="234"/>
      <c r="R208" s="234"/>
    </row>
    <row r="209" spans="1:18" s="235" customFormat="1" ht="15" hidden="1">
      <c r="A209" s="89"/>
      <c r="B209" s="277">
        <v>3292</v>
      </c>
      <c r="C209" s="278"/>
      <c r="D209" s="279" t="s">
        <v>182</v>
      </c>
      <c r="E209" s="272">
        <f t="shared" si="18"/>
        <v>0</v>
      </c>
      <c r="F209" s="272"/>
      <c r="G209" s="272">
        <v>26299.96</v>
      </c>
      <c r="H209" s="272"/>
      <c r="I209" s="302"/>
      <c r="J209" s="304"/>
      <c r="K209" s="234"/>
      <c r="L209" s="234"/>
      <c r="M209" s="234"/>
      <c r="N209" s="234"/>
      <c r="O209" s="234"/>
      <c r="P209" s="234"/>
      <c r="Q209" s="234"/>
      <c r="R209" s="234"/>
    </row>
    <row r="210" spans="1:18" s="235" customFormat="1" ht="15" hidden="1">
      <c r="A210" s="89"/>
      <c r="B210" s="277">
        <v>3293</v>
      </c>
      <c r="C210" s="278"/>
      <c r="D210" s="279" t="s">
        <v>183</v>
      </c>
      <c r="E210" s="272">
        <f t="shared" si="18"/>
        <v>0</v>
      </c>
      <c r="F210" s="272"/>
      <c r="G210" s="272">
        <f>8593.67+1327.23</f>
        <v>9920.9</v>
      </c>
      <c r="H210" s="272"/>
      <c r="I210" s="302"/>
      <c r="J210" s="304"/>
      <c r="K210" s="234"/>
      <c r="L210" s="234"/>
      <c r="M210" s="234"/>
      <c r="N210" s="234"/>
      <c r="O210" s="234"/>
      <c r="P210" s="234"/>
      <c r="Q210" s="234"/>
      <c r="R210" s="234"/>
    </row>
    <row r="211" spans="1:18" s="240" customFormat="1" ht="15" hidden="1">
      <c r="A211" s="89"/>
      <c r="B211" s="277">
        <v>3294</v>
      </c>
      <c r="C211" s="278"/>
      <c r="D211" s="279" t="s">
        <v>184</v>
      </c>
      <c r="E211" s="272">
        <f t="shared" si="18"/>
        <v>0</v>
      </c>
      <c r="F211" s="272"/>
      <c r="G211" s="272">
        <v>3188.27</v>
      </c>
      <c r="H211" s="272"/>
      <c r="I211" s="302"/>
      <c r="J211" s="304"/>
      <c r="K211" s="351"/>
      <c r="L211" s="351"/>
      <c r="M211" s="351"/>
      <c r="N211" s="351"/>
      <c r="O211" s="351"/>
      <c r="P211" s="351"/>
      <c r="Q211" s="351"/>
      <c r="R211" s="351"/>
    </row>
    <row r="212" spans="1:18" s="241" customFormat="1" ht="15" hidden="1">
      <c r="A212" s="89"/>
      <c r="B212" s="285">
        <v>3295</v>
      </c>
      <c r="C212" s="278"/>
      <c r="D212" s="286" t="s">
        <v>185</v>
      </c>
      <c r="E212" s="272">
        <f t="shared" si="18"/>
        <v>0</v>
      </c>
      <c r="F212" s="272"/>
      <c r="G212" s="272">
        <v>8237.71</v>
      </c>
      <c r="H212" s="272"/>
      <c r="I212" s="302"/>
      <c r="J212" s="304"/>
      <c r="K212" s="352"/>
      <c r="L212" s="352"/>
      <c r="M212" s="352"/>
      <c r="N212" s="352"/>
      <c r="O212" s="352"/>
      <c r="P212" s="352"/>
      <c r="Q212" s="352"/>
      <c r="R212" s="352"/>
    </row>
    <row r="213" spans="1:18" s="242" customFormat="1" ht="15" hidden="1">
      <c r="A213" s="89"/>
      <c r="B213" s="285">
        <v>3296</v>
      </c>
      <c r="C213" s="278"/>
      <c r="D213" s="286" t="s">
        <v>186</v>
      </c>
      <c r="E213" s="272">
        <f t="shared" si="18"/>
        <v>0</v>
      </c>
      <c r="F213" s="272"/>
      <c r="G213" s="272">
        <v>39816.84</v>
      </c>
      <c r="H213" s="272">
        <v>0</v>
      </c>
      <c r="I213" s="302"/>
      <c r="J213" s="304"/>
      <c r="K213" s="353"/>
      <c r="L213" s="353"/>
      <c r="M213" s="353"/>
      <c r="N213" s="353"/>
      <c r="O213" s="353"/>
      <c r="P213" s="353"/>
      <c r="Q213" s="353"/>
      <c r="R213" s="353"/>
    </row>
    <row r="214" spans="1:18" s="242" customFormat="1" ht="15" hidden="1">
      <c r="A214" s="89"/>
      <c r="B214" s="285" t="s">
        <v>187</v>
      </c>
      <c r="C214" s="278"/>
      <c r="D214" s="286" t="s">
        <v>179</v>
      </c>
      <c r="E214" s="272">
        <f t="shared" si="18"/>
        <v>0</v>
      </c>
      <c r="F214" s="272"/>
      <c r="G214" s="272">
        <v>313.36</v>
      </c>
      <c r="H214" s="272"/>
      <c r="I214" s="302"/>
      <c r="J214" s="304"/>
      <c r="K214" s="353"/>
      <c r="L214" s="353"/>
      <c r="M214" s="353"/>
      <c r="N214" s="353"/>
      <c r="O214" s="353"/>
      <c r="P214" s="353"/>
      <c r="Q214" s="353"/>
      <c r="R214" s="353"/>
    </row>
    <row r="215" spans="1:18" s="242" customFormat="1" ht="15" hidden="1">
      <c r="A215" s="89"/>
      <c r="B215" s="265">
        <v>34</v>
      </c>
      <c r="C215" s="266"/>
      <c r="D215" s="267" t="s">
        <v>188</v>
      </c>
      <c r="E215" s="287">
        <f>SUM(E216)</f>
        <v>0</v>
      </c>
      <c r="F215" s="287">
        <f>SUM(F216)</f>
        <v>0</v>
      </c>
      <c r="G215" s="287">
        <f>SUM(G216)</f>
        <v>9476.01</v>
      </c>
      <c r="H215" s="287">
        <f>SUM(H216)</f>
        <v>0</v>
      </c>
      <c r="I215" s="301" t="e">
        <f>SUM(H215/E215*100)</f>
        <v>#DIV/0!</v>
      </c>
      <c r="J215" s="301">
        <f>SUM(H215/G215*100)</f>
        <v>0</v>
      </c>
      <c r="K215" s="353"/>
      <c r="L215" s="353"/>
      <c r="M215" s="353"/>
      <c r="N215" s="353"/>
      <c r="O215" s="353"/>
      <c r="P215" s="353"/>
      <c r="Q215" s="353"/>
      <c r="R215" s="353"/>
    </row>
    <row r="216" spans="1:18" s="242" customFormat="1" ht="15" hidden="1">
      <c r="A216" s="89"/>
      <c r="B216" s="283">
        <v>343</v>
      </c>
      <c r="C216" s="280"/>
      <c r="D216" s="284" t="s">
        <v>189</v>
      </c>
      <c r="E216" s="270">
        <f>SUM(E217:E220)</f>
        <v>0</v>
      </c>
      <c r="F216" s="270">
        <f>SUM(F217:F220)</f>
        <v>0</v>
      </c>
      <c r="G216" s="270">
        <f>SUM(G217:G220)</f>
        <v>9476.01</v>
      </c>
      <c r="H216" s="270">
        <f>SUM(H217:H220)</f>
        <v>0</v>
      </c>
      <c r="I216" s="302"/>
      <c r="J216" s="304"/>
      <c r="K216" s="353"/>
      <c r="L216" s="353"/>
      <c r="M216" s="353"/>
      <c r="N216" s="353"/>
      <c r="O216" s="353"/>
      <c r="P216" s="353"/>
      <c r="Q216" s="353"/>
      <c r="R216" s="353"/>
    </row>
    <row r="217" spans="1:18" s="243" customFormat="1" ht="15" hidden="1">
      <c r="A217" s="89"/>
      <c r="B217" s="277" t="s">
        <v>190</v>
      </c>
      <c r="C217" s="278"/>
      <c r="D217" s="279" t="s">
        <v>191</v>
      </c>
      <c r="E217" s="272">
        <f>F217/7.5345</f>
        <v>0</v>
      </c>
      <c r="F217" s="272"/>
      <c r="G217" s="272">
        <v>7436.99</v>
      </c>
      <c r="H217" s="272"/>
      <c r="I217" s="302"/>
      <c r="J217" s="304"/>
      <c r="K217" s="354"/>
      <c r="L217" s="354"/>
      <c r="M217" s="354"/>
      <c r="N217" s="354"/>
      <c r="O217" s="354"/>
      <c r="P217" s="354"/>
      <c r="Q217" s="354"/>
      <c r="R217" s="354"/>
    </row>
    <row r="218" spans="1:18" s="243" customFormat="1" ht="15" hidden="1">
      <c r="A218" s="89"/>
      <c r="B218" s="277">
        <v>3432</v>
      </c>
      <c r="C218" s="278"/>
      <c r="D218" s="279" t="s">
        <v>240</v>
      </c>
      <c r="E218" s="272">
        <f>F218/7.5345</f>
        <v>0</v>
      </c>
      <c r="F218" s="272"/>
      <c r="G218" s="272">
        <v>0</v>
      </c>
      <c r="H218" s="272">
        <v>0</v>
      </c>
      <c r="I218" s="302"/>
      <c r="J218" s="304"/>
      <c r="K218" s="354"/>
      <c r="L218" s="354"/>
      <c r="M218" s="354"/>
      <c r="N218" s="354"/>
      <c r="O218" s="354"/>
      <c r="P218" s="354"/>
      <c r="Q218" s="354"/>
      <c r="R218" s="354"/>
    </row>
    <row r="219" spans="1:18" s="240" customFormat="1" ht="15" hidden="1">
      <c r="A219" s="89"/>
      <c r="B219" s="285">
        <v>3433</v>
      </c>
      <c r="C219" s="278"/>
      <c r="D219" s="286" t="s">
        <v>192</v>
      </c>
      <c r="E219" s="272">
        <f>F219/7.5345</f>
        <v>0</v>
      </c>
      <c r="F219" s="272"/>
      <c r="G219" s="272">
        <v>711.79</v>
      </c>
      <c r="H219" s="272"/>
      <c r="I219" s="302"/>
      <c r="J219" s="304"/>
      <c r="K219" s="351"/>
      <c r="L219" s="351"/>
      <c r="M219" s="351"/>
      <c r="N219" s="351"/>
      <c r="O219" s="351"/>
      <c r="P219" s="351"/>
      <c r="Q219" s="351"/>
      <c r="R219" s="351"/>
    </row>
    <row r="220" spans="1:18" s="240" customFormat="1" ht="15" hidden="1">
      <c r="A220" s="89"/>
      <c r="B220" s="285">
        <v>3434</v>
      </c>
      <c r="C220" s="278"/>
      <c r="D220" s="286" t="s">
        <v>193</v>
      </c>
      <c r="E220" s="272">
        <f>F220/7.5345</f>
        <v>0</v>
      </c>
      <c r="F220" s="272"/>
      <c r="G220" s="272">
        <v>1327.23</v>
      </c>
      <c r="H220" s="272">
        <v>0</v>
      </c>
      <c r="I220" s="302"/>
      <c r="J220" s="304"/>
      <c r="K220" s="351"/>
      <c r="L220" s="351"/>
      <c r="M220" s="351"/>
      <c r="N220" s="351"/>
      <c r="O220" s="351"/>
      <c r="P220" s="351"/>
      <c r="Q220" s="351"/>
      <c r="R220" s="351"/>
    </row>
    <row r="221" spans="1:18" s="242" customFormat="1" ht="15" hidden="1">
      <c r="A221" s="89"/>
      <c r="B221" s="639">
        <v>37</v>
      </c>
      <c r="C221" s="640"/>
      <c r="D221" s="641" t="s">
        <v>197</v>
      </c>
      <c r="E221" s="287">
        <f aca="true" t="shared" si="19" ref="E221:H222">SUM(E222)</f>
        <v>0</v>
      </c>
      <c r="F221" s="287">
        <f t="shared" si="19"/>
        <v>0</v>
      </c>
      <c r="G221" s="287">
        <f t="shared" si="19"/>
        <v>6901.58</v>
      </c>
      <c r="H221" s="287">
        <f t="shared" si="19"/>
        <v>0</v>
      </c>
      <c r="I221" s="301" t="e">
        <f>SUM(H221/E221*100)</f>
        <v>#DIV/0!</v>
      </c>
      <c r="J221" s="301">
        <f>SUM(H221/G221*100)</f>
        <v>0</v>
      </c>
      <c r="K221" s="353"/>
      <c r="L221" s="353"/>
      <c r="M221" s="353"/>
      <c r="N221" s="353"/>
      <c r="O221" s="353"/>
      <c r="P221" s="353"/>
      <c r="Q221" s="353"/>
      <c r="R221" s="353"/>
    </row>
    <row r="222" spans="1:18" s="242" customFormat="1" ht="15" hidden="1">
      <c r="A222" s="89"/>
      <c r="B222" s="642">
        <v>372</v>
      </c>
      <c r="C222" s="643"/>
      <c r="D222" s="644" t="s">
        <v>198</v>
      </c>
      <c r="E222" s="270">
        <f t="shared" si="19"/>
        <v>0</v>
      </c>
      <c r="F222" s="270">
        <f t="shared" si="19"/>
        <v>0</v>
      </c>
      <c r="G222" s="270">
        <f t="shared" si="19"/>
        <v>6901.58</v>
      </c>
      <c r="H222" s="270">
        <f t="shared" si="19"/>
        <v>0</v>
      </c>
      <c r="I222" s="304"/>
      <c r="J222" s="304"/>
      <c r="K222" s="353"/>
      <c r="L222" s="353"/>
      <c r="M222" s="353"/>
      <c r="N222" s="353"/>
      <c r="O222" s="353"/>
      <c r="P222" s="353"/>
      <c r="Q222" s="353"/>
      <c r="R222" s="353"/>
    </row>
    <row r="223" spans="1:10" s="551" customFormat="1" ht="15.75" hidden="1">
      <c r="A223" s="89"/>
      <c r="B223" s="645">
        <v>3721</v>
      </c>
      <c r="C223" s="646"/>
      <c r="D223" s="647" t="s">
        <v>199</v>
      </c>
      <c r="E223" s="272">
        <f aca="true" t="shared" si="20" ref="E223:E229">F223/7.5345</f>
        <v>0</v>
      </c>
      <c r="F223" s="272"/>
      <c r="G223" s="272">
        <v>6901.58</v>
      </c>
      <c r="H223" s="272"/>
      <c r="I223" s="302"/>
      <c r="J223" s="304"/>
    </row>
    <row r="224" spans="1:13" ht="15" hidden="1">
      <c r="A224" s="89"/>
      <c r="B224" s="265" t="s">
        <v>200</v>
      </c>
      <c r="C224" s="266"/>
      <c r="D224" s="267" t="s">
        <v>133</v>
      </c>
      <c r="E224" s="287">
        <f>E227+E225</f>
        <v>0</v>
      </c>
      <c r="F224" s="287">
        <f>F227+F225</f>
        <v>0</v>
      </c>
      <c r="G224" s="287">
        <f>G225+G227</f>
        <v>1770.66</v>
      </c>
      <c r="H224" s="287">
        <f>H225+H227</f>
        <v>0</v>
      </c>
      <c r="I224" s="301" t="e">
        <f>SUM(H224/E224*100)</f>
        <v>#DIV/0!</v>
      </c>
      <c r="J224" s="301">
        <f>SUM(H224/G224*100)</f>
        <v>0</v>
      </c>
      <c r="L224" s="246"/>
      <c r="M224" s="359"/>
    </row>
    <row r="225" spans="1:13" ht="15" hidden="1">
      <c r="A225" s="89"/>
      <c r="B225" s="310" t="s">
        <v>201</v>
      </c>
      <c r="C225" s="311"/>
      <c r="D225" s="312" t="s">
        <v>99</v>
      </c>
      <c r="E225" s="313">
        <f>SUM(E226)</f>
        <v>0</v>
      </c>
      <c r="F225" s="313">
        <f>SUM(F226)</f>
        <v>0</v>
      </c>
      <c r="G225" s="313">
        <f>SUM(G226)</f>
        <v>1505.21</v>
      </c>
      <c r="H225" s="313">
        <f>SUM(H226)</f>
        <v>0</v>
      </c>
      <c r="I225" s="300"/>
      <c r="J225" s="300"/>
      <c r="L225" s="246"/>
      <c r="M225" s="359"/>
    </row>
    <row r="226" spans="1:13" ht="15" hidden="1">
      <c r="A226" s="89"/>
      <c r="B226" s="314" t="s">
        <v>203</v>
      </c>
      <c r="C226" s="315"/>
      <c r="D226" s="316" t="s">
        <v>202</v>
      </c>
      <c r="E226" s="272">
        <f t="shared" si="20"/>
        <v>0</v>
      </c>
      <c r="F226" s="317"/>
      <c r="G226" s="317">
        <v>1505.21</v>
      </c>
      <c r="H226" s="317"/>
      <c r="I226" s="333"/>
      <c r="J226" s="333"/>
      <c r="L226" s="246"/>
      <c r="M226" s="359"/>
    </row>
    <row r="227" spans="1:13" ht="15" hidden="1">
      <c r="A227" s="89"/>
      <c r="B227" s="291">
        <v>383</v>
      </c>
      <c r="C227" s="280"/>
      <c r="D227" s="292" t="s">
        <v>204</v>
      </c>
      <c r="E227" s="270">
        <f>SUM(E228:E229)</f>
        <v>0</v>
      </c>
      <c r="F227" s="270">
        <f>SUM(F228:F229)</f>
        <v>0</v>
      </c>
      <c r="G227" s="270">
        <f>SUM(G228:G229)</f>
        <v>265.45</v>
      </c>
      <c r="H227" s="270">
        <f>SUM(H228:H229)</f>
        <v>0</v>
      </c>
      <c r="I227" s="302"/>
      <c r="J227" s="304"/>
      <c r="M227" s="246"/>
    </row>
    <row r="228" spans="1:10" ht="15" hidden="1">
      <c r="A228" s="89"/>
      <c r="B228" s="285">
        <v>3834</v>
      </c>
      <c r="C228" s="278"/>
      <c r="D228" s="286" t="s">
        <v>207</v>
      </c>
      <c r="E228" s="272">
        <f t="shared" si="20"/>
        <v>0</v>
      </c>
      <c r="F228" s="272"/>
      <c r="G228" s="272">
        <v>265.45</v>
      </c>
      <c r="H228" s="272">
        <v>0</v>
      </c>
      <c r="I228" s="302"/>
      <c r="J228" s="304"/>
    </row>
    <row r="229" spans="1:10" ht="15" hidden="1">
      <c r="A229" s="89"/>
      <c r="B229" s="285">
        <v>3835</v>
      </c>
      <c r="C229" s="278"/>
      <c r="D229" s="286" t="s">
        <v>208</v>
      </c>
      <c r="E229" s="272">
        <f t="shared" si="20"/>
        <v>0</v>
      </c>
      <c r="F229" s="272"/>
      <c r="G229" s="272">
        <v>0</v>
      </c>
      <c r="H229" s="272"/>
      <c r="I229" s="302"/>
      <c r="J229" s="304"/>
    </row>
    <row r="230" spans="1:10" ht="15" hidden="1">
      <c r="A230" s="318">
        <v>4</v>
      </c>
      <c r="B230" s="319"/>
      <c r="C230" s="320"/>
      <c r="D230" s="321" t="s">
        <v>209</v>
      </c>
      <c r="E230" s="322">
        <f>E231+E234</f>
        <v>0</v>
      </c>
      <c r="F230" s="322">
        <f>F231+F234</f>
        <v>0</v>
      </c>
      <c r="G230" s="322">
        <f>G231+G234</f>
        <v>44926.68000000001</v>
      </c>
      <c r="H230" s="322">
        <f>H231+H234</f>
        <v>0</v>
      </c>
      <c r="I230" s="299" t="e">
        <f>SUM(H230/E230*100)</f>
        <v>#DIV/0!</v>
      </c>
      <c r="J230" s="299">
        <f>SUM(H230/G230*100)</f>
        <v>0</v>
      </c>
    </row>
    <row r="231" spans="1:10" ht="15" hidden="1">
      <c r="A231" s="323"/>
      <c r="B231" s="265" t="s">
        <v>210</v>
      </c>
      <c r="C231" s="266"/>
      <c r="D231" s="324" t="s">
        <v>211</v>
      </c>
      <c r="E231" s="287">
        <f aca="true" t="shared" si="21" ref="E231:H232">SUM(E232)</f>
        <v>0</v>
      </c>
      <c r="F231" s="287">
        <f t="shared" si="21"/>
        <v>0</v>
      </c>
      <c r="G231" s="287">
        <f t="shared" si="21"/>
        <v>0</v>
      </c>
      <c r="H231" s="287">
        <f t="shared" si="21"/>
        <v>0</v>
      </c>
      <c r="I231" s="301" t="e">
        <f>SUM(H231/E231*100)</f>
        <v>#DIV/0!</v>
      </c>
      <c r="J231" s="301" t="e">
        <f>SUM(H231/G231*100)</f>
        <v>#DIV/0!</v>
      </c>
    </row>
    <row r="232" spans="1:10" ht="15" hidden="1">
      <c r="A232" s="323"/>
      <c r="B232" s="283">
        <v>412</v>
      </c>
      <c r="C232" s="273"/>
      <c r="D232" s="70" t="s">
        <v>216</v>
      </c>
      <c r="E232" s="270">
        <f t="shared" si="21"/>
        <v>0</v>
      </c>
      <c r="F232" s="270">
        <f t="shared" si="21"/>
        <v>0</v>
      </c>
      <c r="G232" s="270">
        <f t="shared" si="21"/>
        <v>0</v>
      </c>
      <c r="H232" s="270">
        <f t="shared" si="21"/>
        <v>0</v>
      </c>
      <c r="I232" s="302"/>
      <c r="J232" s="304"/>
    </row>
    <row r="233" spans="1:10" ht="15" hidden="1">
      <c r="A233" s="327"/>
      <c r="B233" s="277">
        <v>4123</v>
      </c>
      <c r="C233" s="274"/>
      <c r="D233" s="71" t="s">
        <v>217</v>
      </c>
      <c r="E233" s="272">
        <f aca="true" t="shared" si="22" ref="E233:E243">F233/7.5345</f>
        <v>0</v>
      </c>
      <c r="F233" s="272">
        <v>0</v>
      </c>
      <c r="G233" s="272">
        <v>0</v>
      </c>
      <c r="H233" s="272">
        <v>0</v>
      </c>
      <c r="I233" s="302"/>
      <c r="J233" s="304"/>
    </row>
    <row r="234" spans="1:10" ht="15" hidden="1">
      <c r="A234" s="89"/>
      <c r="B234" s="265">
        <v>42</v>
      </c>
      <c r="C234" s="266"/>
      <c r="D234" s="267" t="s">
        <v>218</v>
      </c>
      <c r="E234" s="287">
        <f>SUM(E235,E237,E246)</f>
        <v>0</v>
      </c>
      <c r="F234" s="287">
        <f>SUM(F235,F237,F246)</f>
        <v>0</v>
      </c>
      <c r="G234" s="287">
        <f>SUM(G235,G237,G246)</f>
        <v>44926.68000000001</v>
      </c>
      <c r="H234" s="287">
        <f>SUM(H235,H237,H246,H244)</f>
        <v>0</v>
      </c>
      <c r="I234" s="301" t="e">
        <f>SUM(H234/E234*100)</f>
        <v>#DIV/0!</v>
      </c>
      <c r="J234" s="301">
        <f>SUM(H234/G234*100)</f>
        <v>0</v>
      </c>
    </row>
    <row r="235" spans="1:10" ht="15" hidden="1">
      <c r="A235" s="89"/>
      <c r="B235" s="310" t="s">
        <v>241</v>
      </c>
      <c r="C235" s="311"/>
      <c r="D235" s="312" t="s">
        <v>242</v>
      </c>
      <c r="E235" s="313">
        <f>SUM(E236)</f>
        <v>0</v>
      </c>
      <c r="F235" s="313">
        <f>SUM(F236)</f>
        <v>0</v>
      </c>
      <c r="G235" s="313">
        <f>SUM(G236)</f>
        <v>18581.2</v>
      </c>
      <c r="H235" s="313">
        <f>SUM(H236)</f>
        <v>0</v>
      </c>
      <c r="I235" s="300"/>
      <c r="J235" s="300"/>
    </row>
    <row r="236" spans="1:10" ht="15" hidden="1">
      <c r="A236" s="89"/>
      <c r="B236" s="314" t="s">
        <v>243</v>
      </c>
      <c r="C236" s="315"/>
      <c r="D236" s="316" t="s">
        <v>244</v>
      </c>
      <c r="E236" s="272">
        <f t="shared" si="22"/>
        <v>0</v>
      </c>
      <c r="F236" s="317"/>
      <c r="G236" s="317">
        <v>18581.2</v>
      </c>
      <c r="H236" s="317">
        <v>0</v>
      </c>
      <c r="I236" s="333"/>
      <c r="J236" s="333"/>
    </row>
    <row r="237" spans="1:10" ht="15" hidden="1">
      <c r="A237" s="89"/>
      <c r="B237" s="269">
        <v>422</v>
      </c>
      <c r="C237" s="89"/>
      <c r="D237" s="264" t="s">
        <v>219</v>
      </c>
      <c r="E237" s="270">
        <f>SUM(E238:E243)</f>
        <v>0</v>
      </c>
      <c r="F237" s="270">
        <f>SUM(F238:F243)</f>
        <v>0</v>
      </c>
      <c r="G237" s="270">
        <f>SUM(G238:G242)</f>
        <v>26345.480000000003</v>
      </c>
      <c r="H237" s="270">
        <f>SUM(H238:H242)</f>
        <v>0</v>
      </c>
      <c r="I237" s="302"/>
      <c r="J237" s="304"/>
    </row>
    <row r="238" spans="1:10" ht="15" hidden="1">
      <c r="A238" s="89"/>
      <c r="B238" s="271" t="s">
        <v>220</v>
      </c>
      <c r="C238" s="89"/>
      <c r="D238" s="89" t="s">
        <v>221</v>
      </c>
      <c r="E238" s="272">
        <f t="shared" si="22"/>
        <v>0</v>
      </c>
      <c r="F238" s="272"/>
      <c r="G238" s="272">
        <f>1327.23</f>
        <v>1327.23</v>
      </c>
      <c r="H238" s="272"/>
      <c r="I238" s="302"/>
      <c r="J238" s="304"/>
    </row>
    <row r="239" spans="1:10" ht="15" hidden="1">
      <c r="A239" s="89"/>
      <c r="B239" s="271" t="s">
        <v>222</v>
      </c>
      <c r="C239" s="89"/>
      <c r="D239" s="89" t="s">
        <v>223</v>
      </c>
      <c r="E239" s="272">
        <f t="shared" si="22"/>
        <v>0</v>
      </c>
      <c r="F239" s="272"/>
      <c r="G239" s="272">
        <v>132.72</v>
      </c>
      <c r="H239" s="272">
        <v>0</v>
      </c>
      <c r="I239" s="302"/>
      <c r="J239" s="304"/>
    </row>
    <row r="240" spans="1:10" ht="15" hidden="1">
      <c r="A240" s="327"/>
      <c r="B240" s="277">
        <v>4223</v>
      </c>
      <c r="C240" s="274"/>
      <c r="D240" s="71" t="s">
        <v>224</v>
      </c>
      <c r="E240" s="272">
        <f t="shared" si="22"/>
        <v>0</v>
      </c>
      <c r="F240" s="272">
        <v>0</v>
      </c>
      <c r="G240" s="272">
        <f>1990.84</f>
        <v>1990.84</v>
      </c>
      <c r="H240" s="272">
        <v>0</v>
      </c>
      <c r="I240" s="302"/>
      <c r="J240" s="304"/>
    </row>
    <row r="241" spans="1:10" ht="15" hidden="1">
      <c r="A241" s="327"/>
      <c r="B241" s="277">
        <v>4224</v>
      </c>
      <c r="C241" s="274"/>
      <c r="D241" s="71" t="s">
        <v>225</v>
      </c>
      <c r="E241" s="272">
        <f t="shared" si="22"/>
        <v>0</v>
      </c>
      <c r="F241" s="272"/>
      <c r="G241" s="272">
        <f>22562.88+331.81</f>
        <v>22894.690000000002</v>
      </c>
      <c r="H241" s="272"/>
      <c r="I241" s="302"/>
      <c r="J241" s="304"/>
    </row>
    <row r="242" spans="1:10" ht="15" hidden="1">
      <c r="A242" s="327"/>
      <c r="B242" s="277">
        <v>4225</v>
      </c>
      <c r="C242" s="274"/>
      <c r="D242" s="71" t="s">
        <v>226</v>
      </c>
      <c r="E242" s="272">
        <f t="shared" si="22"/>
        <v>0</v>
      </c>
      <c r="F242" s="272">
        <v>0</v>
      </c>
      <c r="G242" s="272">
        <v>0</v>
      </c>
      <c r="H242" s="272">
        <v>0</v>
      </c>
      <c r="I242" s="302"/>
      <c r="J242" s="304"/>
    </row>
    <row r="243" spans="1:10" ht="15" hidden="1">
      <c r="A243" s="327"/>
      <c r="B243" s="277">
        <v>4227</v>
      </c>
      <c r="C243" s="274"/>
      <c r="D243" s="71" t="s">
        <v>227</v>
      </c>
      <c r="E243" s="272">
        <f t="shared" si="22"/>
        <v>0</v>
      </c>
      <c r="F243" s="272"/>
      <c r="G243" s="272">
        <v>0</v>
      </c>
      <c r="H243" s="272">
        <v>0</v>
      </c>
      <c r="I243" s="302"/>
      <c r="J243" s="304"/>
    </row>
    <row r="244" spans="1:10" s="246" customFormat="1" ht="15" hidden="1">
      <c r="A244" s="323"/>
      <c r="B244" s="283">
        <v>423</v>
      </c>
      <c r="C244" s="273"/>
      <c r="D244" s="70" t="s">
        <v>228</v>
      </c>
      <c r="E244" s="270"/>
      <c r="F244" s="270"/>
      <c r="G244" s="270"/>
      <c r="H244" s="270">
        <f>H245</f>
        <v>0</v>
      </c>
      <c r="I244" s="304"/>
      <c r="J244" s="304"/>
    </row>
    <row r="245" spans="1:10" ht="15" hidden="1">
      <c r="A245" s="327"/>
      <c r="B245" s="277">
        <v>4231</v>
      </c>
      <c r="C245" s="274"/>
      <c r="D245" s="71" t="s">
        <v>110</v>
      </c>
      <c r="E245" s="272"/>
      <c r="F245" s="272"/>
      <c r="G245" s="272"/>
      <c r="H245" s="272"/>
      <c r="I245" s="302"/>
      <c r="J245" s="304"/>
    </row>
    <row r="246" spans="1:10" ht="15" hidden="1">
      <c r="A246" s="327"/>
      <c r="B246" s="283">
        <v>426</v>
      </c>
      <c r="C246" s="273"/>
      <c r="D246" s="70" t="s">
        <v>229</v>
      </c>
      <c r="E246" s="270">
        <f>E247</f>
        <v>0</v>
      </c>
      <c r="F246" s="270">
        <f>F247</f>
        <v>0</v>
      </c>
      <c r="G246" s="270">
        <f>G247</f>
        <v>0</v>
      </c>
      <c r="H246" s="270">
        <f>H247</f>
        <v>0</v>
      </c>
      <c r="I246" s="304"/>
      <c r="J246" s="304"/>
    </row>
    <row r="247" spans="1:10" ht="15" hidden="1">
      <c r="A247" s="327"/>
      <c r="B247" s="277">
        <v>4262</v>
      </c>
      <c r="C247" s="274"/>
      <c r="D247" s="71" t="s">
        <v>230</v>
      </c>
      <c r="E247" s="272">
        <f>F247/7.5345</f>
        <v>0</v>
      </c>
      <c r="F247" s="272"/>
      <c r="G247" s="272">
        <v>0</v>
      </c>
      <c r="H247" s="272">
        <v>0</v>
      </c>
      <c r="I247" s="302"/>
      <c r="J247" s="304"/>
    </row>
    <row r="248" spans="1:10" ht="15" hidden="1">
      <c r="A248" s="328"/>
      <c r="B248" s="329"/>
      <c r="C248" s="344" t="s">
        <v>96</v>
      </c>
      <c r="D248" s="345" t="s">
        <v>245</v>
      </c>
      <c r="E248" s="346">
        <f>E173+E230</f>
        <v>0</v>
      </c>
      <c r="F248" s="346">
        <f>F173+F230</f>
        <v>0</v>
      </c>
      <c r="G248" s="346">
        <f>G173+G230</f>
        <v>4869046.529999999</v>
      </c>
      <c r="H248" s="346">
        <f>H173+H230</f>
        <v>0</v>
      </c>
      <c r="I248" s="360" t="e">
        <f>SUM(H248/E248*100)</f>
        <v>#DIV/0!</v>
      </c>
      <c r="J248" s="360">
        <f>SUM(H248/G248*100)</f>
        <v>0</v>
      </c>
    </row>
    <row r="249" spans="1:10" ht="15" hidden="1">
      <c r="A249" s="260" t="s">
        <v>121</v>
      </c>
      <c r="B249" s="260"/>
      <c r="C249" s="261"/>
      <c r="D249" s="262" t="s">
        <v>122</v>
      </c>
      <c r="E249" s="347">
        <f>E250+E257</f>
        <v>0</v>
      </c>
      <c r="F249" s="347">
        <f>F250+F257</f>
        <v>0</v>
      </c>
      <c r="G249" s="348">
        <f>G250+G257</f>
        <v>347388.68</v>
      </c>
      <c r="H249" s="348">
        <f>H250+H257</f>
        <v>0</v>
      </c>
      <c r="I249" s="299" t="e">
        <f>SUM(H249/E249*100)</f>
        <v>#DIV/0!</v>
      </c>
      <c r="J249" s="299">
        <f>SUM(H249/G249*100)</f>
        <v>0</v>
      </c>
    </row>
    <row r="250" spans="1:10" ht="15" hidden="1">
      <c r="A250" s="264"/>
      <c r="B250" s="265">
        <v>31</v>
      </c>
      <c r="C250" s="266"/>
      <c r="D250" s="267" t="s">
        <v>123</v>
      </c>
      <c r="E250" s="268">
        <f>E251+E255</f>
        <v>0</v>
      </c>
      <c r="F250" s="268">
        <f>F251+F255</f>
        <v>0</v>
      </c>
      <c r="G250" s="268">
        <f>G251+G255</f>
        <v>347388.68</v>
      </c>
      <c r="H250" s="268">
        <f>H251+H255</f>
        <v>0</v>
      </c>
      <c r="I250" s="301" t="e">
        <f>SUM(H250/E250*100)</f>
        <v>#DIV/0!</v>
      </c>
      <c r="J250" s="301">
        <f>SUM(H250/G250*100)</f>
        <v>0</v>
      </c>
    </row>
    <row r="251" spans="1:10" ht="15" hidden="1">
      <c r="A251" s="264"/>
      <c r="B251" s="269">
        <v>311</v>
      </c>
      <c r="C251" s="89"/>
      <c r="D251" s="264" t="s">
        <v>124</v>
      </c>
      <c r="E251" s="35">
        <f>SUM(E252:E254)</f>
        <v>0</v>
      </c>
      <c r="F251" s="35">
        <f>SUM(F252:F254)</f>
        <v>0</v>
      </c>
      <c r="G251" s="35">
        <f>SUM(G252:G254)</f>
        <v>330612.52</v>
      </c>
      <c r="H251" s="35">
        <f>SUM(H252,H254)</f>
        <v>0</v>
      </c>
      <c r="I251" s="304"/>
      <c r="J251" s="304"/>
    </row>
    <row r="252" spans="1:10" ht="15" hidden="1">
      <c r="A252" s="264"/>
      <c r="B252" s="271">
        <v>3111</v>
      </c>
      <c r="C252" s="89"/>
      <c r="D252" s="89" t="s">
        <v>125</v>
      </c>
      <c r="E252" s="272">
        <f>F252/7.5345</f>
        <v>0</v>
      </c>
      <c r="F252" s="37"/>
      <c r="G252" s="29">
        <f>173999.6+21235.65</f>
        <v>195235.25</v>
      </c>
      <c r="H252" s="37"/>
      <c r="I252" s="304"/>
      <c r="J252" s="304"/>
    </row>
    <row r="253" spans="1:10" ht="15" hidden="1">
      <c r="A253" s="264"/>
      <c r="B253" s="271" t="s">
        <v>128</v>
      </c>
      <c r="C253" s="89"/>
      <c r="D253" s="89" t="s">
        <v>129</v>
      </c>
      <c r="E253" s="272">
        <f>F253/7.5345</f>
        <v>0</v>
      </c>
      <c r="F253" s="37">
        <v>0</v>
      </c>
      <c r="G253" s="29">
        <v>16988.52</v>
      </c>
      <c r="H253" s="37">
        <v>0</v>
      </c>
      <c r="I253" s="304"/>
      <c r="J253" s="304"/>
    </row>
    <row r="254" spans="1:10" ht="15" hidden="1">
      <c r="A254" s="264"/>
      <c r="B254" s="271" t="s">
        <v>130</v>
      </c>
      <c r="C254" s="89"/>
      <c r="D254" s="89" t="s">
        <v>246</v>
      </c>
      <c r="E254" s="272">
        <f>F254/7.5345</f>
        <v>0</v>
      </c>
      <c r="F254" s="37"/>
      <c r="G254" s="29">
        <v>118388.75</v>
      </c>
      <c r="H254" s="37">
        <v>0</v>
      </c>
      <c r="I254" s="304"/>
      <c r="J254" s="304"/>
    </row>
    <row r="255" spans="1:10" ht="15" hidden="1">
      <c r="A255" s="264"/>
      <c r="B255" s="310" t="s">
        <v>247</v>
      </c>
      <c r="C255" s="311"/>
      <c r="D255" s="311" t="s">
        <v>135</v>
      </c>
      <c r="E255" s="349">
        <f>SUM(E256)</f>
        <v>0</v>
      </c>
      <c r="F255" s="349">
        <f>SUM(F256)</f>
        <v>0</v>
      </c>
      <c r="G255" s="349">
        <f>SUM(G256)</f>
        <v>16776.16</v>
      </c>
      <c r="H255" s="349">
        <f>SUM(H256)</f>
        <v>0</v>
      </c>
      <c r="I255" s="300"/>
      <c r="J255" s="300"/>
    </row>
    <row r="256" spans="1:10" ht="15" hidden="1">
      <c r="A256" s="264"/>
      <c r="B256" s="271" t="s">
        <v>248</v>
      </c>
      <c r="C256" s="89"/>
      <c r="D256" s="89" t="s">
        <v>249</v>
      </c>
      <c r="E256" s="272">
        <f aca="true" t="shared" si="23" ref="E256:E262">F256/7.5345</f>
        <v>0</v>
      </c>
      <c r="F256" s="37"/>
      <c r="G256" s="29">
        <v>16776.16</v>
      </c>
      <c r="H256" s="37">
        <v>0</v>
      </c>
      <c r="I256" s="304"/>
      <c r="J256" s="304"/>
    </row>
    <row r="257" spans="1:10" ht="15" hidden="1">
      <c r="A257" s="264"/>
      <c r="B257" s="265">
        <v>32</v>
      </c>
      <c r="C257" s="266"/>
      <c r="D257" s="267" t="s">
        <v>137</v>
      </c>
      <c r="E257" s="350">
        <f>SUM(E260+E258+E265+E271)</f>
        <v>0</v>
      </c>
      <c r="F257" s="350">
        <f>SUM(F260+F258+F265+F271)</f>
        <v>0</v>
      </c>
      <c r="G257" s="350">
        <v>0</v>
      </c>
      <c r="H257" s="350">
        <f>SUM(H258,H260,H265,H271)</f>
        <v>0</v>
      </c>
      <c r="I257" s="301" t="e">
        <f>SUM(H257/E257*100)</f>
        <v>#DIV/0!</v>
      </c>
      <c r="J257" s="301">
        <v>0</v>
      </c>
    </row>
    <row r="258" spans="1:10" ht="15" hidden="1">
      <c r="A258" s="264"/>
      <c r="B258" s="310" t="s">
        <v>250</v>
      </c>
      <c r="C258" s="311"/>
      <c r="D258" s="312" t="s">
        <v>138</v>
      </c>
      <c r="E258" s="349">
        <f>E259</f>
        <v>0</v>
      </c>
      <c r="F258" s="349">
        <f>F259</f>
        <v>0</v>
      </c>
      <c r="G258" s="349">
        <f>G259</f>
        <v>0</v>
      </c>
      <c r="H258" s="349">
        <f>H259</f>
        <v>0</v>
      </c>
      <c r="I258" s="300"/>
      <c r="J258" s="300"/>
    </row>
    <row r="259" spans="1:10" ht="15" hidden="1">
      <c r="A259" s="89"/>
      <c r="B259" s="314" t="s">
        <v>141</v>
      </c>
      <c r="C259" s="315"/>
      <c r="D259" s="316" t="s">
        <v>142</v>
      </c>
      <c r="E259" s="272">
        <f t="shared" si="23"/>
        <v>0</v>
      </c>
      <c r="F259" s="58"/>
      <c r="G259" s="58">
        <v>0</v>
      </c>
      <c r="H259" s="58">
        <v>0</v>
      </c>
      <c r="I259" s="333"/>
      <c r="J259" s="333"/>
    </row>
    <row r="260" spans="1:10" ht="15" hidden="1">
      <c r="A260" s="264"/>
      <c r="B260" s="269" t="s">
        <v>147</v>
      </c>
      <c r="C260" s="264"/>
      <c r="D260" s="264" t="s">
        <v>148</v>
      </c>
      <c r="E260" s="35">
        <f>SUM(E261:E264)</f>
        <v>0</v>
      </c>
      <c r="F260" s="35">
        <f>SUM(F261:F264)</f>
        <v>0</v>
      </c>
      <c r="G260" s="35">
        <f>SUM(G262,G261)</f>
        <v>0</v>
      </c>
      <c r="H260" s="35">
        <f>SUM(H261:I264)</f>
        <v>0</v>
      </c>
      <c r="I260" s="304"/>
      <c r="J260" s="304"/>
    </row>
    <row r="261" spans="1:10" ht="15" hidden="1">
      <c r="A261" s="89"/>
      <c r="B261" s="271" t="s">
        <v>149</v>
      </c>
      <c r="C261" s="89"/>
      <c r="D261" s="89" t="s">
        <v>150</v>
      </c>
      <c r="E261" s="272">
        <f t="shared" si="23"/>
        <v>0</v>
      </c>
      <c r="F261" s="37"/>
      <c r="G261" s="37">
        <v>0</v>
      </c>
      <c r="H261" s="37"/>
      <c r="I261" s="302"/>
      <c r="J261" s="302"/>
    </row>
    <row r="262" spans="1:10" ht="15" hidden="1">
      <c r="A262" s="264"/>
      <c r="B262" s="271" t="s">
        <v>151</v>
      </c>
      <c r="C262" s="89"/>
      <c r="D262" s="89" t="s">
        <v>152</v>
      </c>
      <c r="E262" s="272">
        <f t="shared" si="23"/>
        <v>0</v>
      </c>
      <c r="F262" s="37"/>
      <c r="G262" s="29">
        <v>0</v>
      </c>
      <c r="H262" s="37">
        <v>0</v>
      </c>
      <c r="I262" s="304"/>
      <c r="J262" s="304"/>
    </row>
    <row r="263" spans="1:10" ht="15" hidden="1">
      <c r="A263" s="264"/>
      <c r="B263" s="271" t="s">
        <v>153</v>
      </c>
      <c r="C263" s="89"/>
      <c r="D263" s="89" t="s">
        <v>154</v>
      </c>
      <c r="E263" s="272"/>
      <c r="F263" s="37"/>
      <c r="G263" s="29">
        <v>0</v>
      </c>
      <c r="H263" s="37"/>
      <c r="I263" s="304"/>
      <c r="J263" s="304"/>
    </row>
    <row r="264" spans="1:10" ht="15" hidden="1">
      <c r="A264" s="264"/>
      <c r="B264" s="271" t="s">
        <v>155</v>
      </c>
      <c r="C264" s="89"/>
      <c r="D264" s="89" t="s">
        <v>156</v>
      </c>
      <c r="E264" s="272">
        <f aca="true" t="shared" si="24" ref="E264:E270">F264/7.5345</f>
        <v>0</v>
      </c>
      <c r="F264" s="37"/>
      <c r="G264" s="29">
        <v>0</v>
      </c>
      <c r="H264" s="37">
        <v>0</v>
      </c>
      <c r="I264" s="304"/>
      <c r="J264" s="304"/>
    </row>
    <row r="265" spans="1:10" ht="15" hidden="1">
      <c r="A265" s="264"/>
      <c r="B265" s="269" t="s">
        <v>161</v>
      </c>
      <c r="C265" s="264"/>
      <c r="D265" s="264" t="s">
        <v>162</v>
      </c>
      <c r="E265" s="35">
        <f>SUM(E266:E270)</f>
        <v>0</v>
      </c>
      <c r="F265" s="35">
        <f>SUM(F266:F270)</f>
        <v>0</v>
      </c>
      <c r="G265" s="35">
        <f>SUM(G266:G270)</f>
        <v>0</v>
      </c>
      <c r="H265" s="35">
        <f>SUM(H266:H270)</f>
        <v>0</v>
      </c>
      <c r="I265" s="304"/>
      <c r="J265" s="304"/>
    </row>
    <row r="266" spans="1:10" ht="15" hidden="1">
      <c r="A266" s="264"/>
      <c r="B266" s="271" t="s">
        <v>167</v>
      </c>
      <c r="C266" s="89"/>
      <c r="D266" s="89" t="s">
        <v>168</v>
      </c>
      <c r="E266" s="272">
        <f t="shared" si="24"/>
        <v>0</v>
      </c>
      <c r="F266" s="37">
        <v>0</v>
      </c>
      <c r="G266" s="29">
        <v>0</v>
      </c>
      <c r="H266" s="37"/>
      <c r="I266" s="304"/>
      <c r="J266" s="304"/>
    </row>
    <row r="267" spans="1:10" ht="15" hidden="1">
      <c r="A267" s="264"/>
      <c r="B267" s="271" t="s">
        <v>169</v>
      </c>
      <c r="C267" s="89"/>
      <c r="D267" s="89" t="s">
        <v>170</v>
      </c>
      <c r="E267" s="272">
        <f t="shared" si="24"/>
        <v>0</v>
      </c>
      <c r="F267" s="37"/>
      <c r="G267" s="29">
        <v>0</v>
      </c>
      <c r="H267" s="37"/>
      <c r="I267" s="304"/>
      <c r="J267" s="304"/>
    </row>
    <row r="268" spans="1:10" ht="15" hidden="1">
      <c r="A268" s="264"/>
      <c r="B268" s="271" t="s">
        <v>251</v>
      </c>
      <c r="C268" s="89"/>
      <c r="D268" s="89" t="s">
        <v>171</v>
      </c>
      <c r="E268" s="272">
        <f t="shared" si="24"/>
        <v>0</v>
      </c>
      <c r="F268" s="37">
        <v>0</v>
      </c>
      <c r="G268" s="29">
        <v>0</v>
      </c>
      <c r="H268" s="37"/>
      <c r="I268" s="304"/>
      <c r="J268" s="304"/>
    </row>
    <row r="269" spans="1:10" ht="15" hidden="1">
      <c r="A269" s="264"/>
      <c r="B269" s="271" t="s">
        <v>252</v>
      </c>
      <c r="C269" s="89"/>
      <c r="D269" s="89" t="s">
        <v>172</v>
      </c>
      <c r="E269" s="272">
        <f t="shared" si="24"/>
        <v>0</v>
      </c>
      <c r="F269" s="37"/>
      <c r="G269" s="29">
        <v>0</v>
      </c>
      <c r="H269" s="37">
        <v>0</v>
      </c>
      <c r="I269" s="304"/>
      <c r="J269" s="304"/>
    </row>
    <row r="270" spans="1:10" ht="15" hidden="1">
      <c r="A270" s="264"/>
      <c r="B270" s="271" t="s">
        <v>253</v>
      </c>
      <c r="C270" s="89"/>
      <c r="D270" s="89" t="s">
        <v>173</v>
      </c>
      <c r="E270" s="272">
        <f t="shared" si="24"/>
        <v>0</v>
      </c>
      <c r="F270" s="37">
        <v>0</v>
      </c>
      <c r="G270" s="29">
        <v>0</v>
      </c>
      <c r="H270" s="37"/>
      <c r="I270" s="304"/>
      <c r="J270" s="304"/>
    </row>
    <row r="271" spans="1:10" ht="15" hidden="1">
      <c r="A271" s="264"/>
      <c r="B271" s="269" t="s">
        <v>254</v>
      </c>
      <c r="C271" s="264"/>
      <c r="D271" s="264" t="s">
        <v>255</v>
      </c>
      <c r="E271" s="35">
        <f>SUM(E272:E273)</f>
        <v>0</v>
      </c>
      <c r="F271" s="35">
        <f>SUM(F272:F273)</f>
        <v>0</v>
      </c>
      <c r="G271" s="35">
        <f>SUM(G272:G273)</f>
        <v>0</v>
      </c>
      <c r="H271" s="35">
        <f>SUM(H272:I273)</f>
        <v>0</v>
      </c>
      <c r="I271" s="304"/>
      <c r="J271" s="304"/>
    </row>
    <row r="272" spans="1:10" ht="15" hidden="1">
      <c r="A272" s="264"/>
      <c r="B272" s="271" t="s">
        <v>256</v>
      </c>
      <c r="C272" s="89"/>
      <c r="D272" s="89" t="s">
        <v>183</v>
      </c>
      <c r="E272" s="37">
        <v>0</v>
      </c>
      <c r="F272" s="37">
        <v>0</v>
      </c>
      <c r="G272" s="29">
        <v>0</v>
      </c>
      <c r="H272" s="37"/>
      <c r="I272" s="304"/>
      <c r="J272" s="304"/>
    </row>
    <row r="273" spans="1:10" ht="15" hidden="1">
      <c r="A273" s="264"/>
      <c r="B273" s="271" t="s">
        <v>257</v>
      </c>
      <c r="C273" s="89"/>
      <c r="D273" s="89" t="s">
        <v>185</v>
      </c>
      <c r="E273" s="37">
        <v>0</v>
      </c>
      <c r="F273" s="37">
        <v>0</v>
      </c>
      <c r="G273" s="29">
        <v>0</v>
      </c>
      <c r="H273" s="37">
        <v>0</v>
      </c>
      <c r="I273" s="304"/>
      <c r="J273" s="304"/>
    </row>
    <row r="274" spans="1:10" s="246" customFormat="1" ht="15" hidden="1">
      <c r="A274" s="597">
        <v>4</v>
      </c>
      <c r="B274" s="648"/>
      <c r="C274" s="649"/>
      <c r="D274" s="321" t="s">
        <v>218</v>
      </c>
      <c r="E274" s="361"/>
      <c r="F274" s="361"/>
      <c r="G274" s="650"/>
      <c r="H274" s="361">
        <f>H275</f>
        <v>0</v>
      </c>
      <c r="I274" s="299"/>
      <c r="J274" s="299"/>
    </row>
    <row r="275" spans="1:10" s="246" customFormat="1" ht="15" hidden="1">
      <c r="A275" s="264"/>
      <c r="B275" s="269" t="s">
        <v>258</v>
      </c>
      <c r="C275" s="264"/>
      <c r="D275" s="264" t="s">
        <v>219</v>
      </c>
      <c r="E275" s="35"/>
      <c r="F275" s="35"/>
      <c r="G275" s="65"/>
      <c r="H275" s="35">
        <f>H276</f>
        <v>0</v>
      </c>
      <c r="I275" s="304"/>
      <c r="J275" s="304"/>
    </row>
    <row r="276" spans="1:10" ht="15" hidden="1">
      <c r="A276" s="264"/>
      <c r="B276" s="271" t="s">
        <v>220</v>
      </c>
      <c r="C276" s="89"/>
      <c r="D276" s="89" t="s">
        <v>221</v>
      </c>
      <c r="E276" s="37"/>
      <c r="F276" s="37"/>
      <c r="G276" s="29"/>
      <c r="H276" s="37"/>
      <c r="I276" s="304"/>
      <c r="J276" s="304"/>
    </row>
    <row r="277" spans="1:10" ht="15" hidden="1">
      <c r="A277" s="328"/>
      <c r="B277" s="329"/>
      <c r="C277" s="344">
        <v>52</v>
      </c>
      <c r="D277" s="345" t="s">
        <v>259</v>
      </c>
      <c r="E277" s="346">
        <f>E249</f>
        <v>0</v>
      </c>
      <c r="F277" s="346">
        <f>F249</f>
        <v>0</v>
      </c>
      <c r="G277" s="346">
        <f>G249</f>
        <v>347388.68</v>
      </c>
      <c r="H277" s="346">
        <f>H249+H274</f>
        <v>0</v>
      </c>
      <c r="I277" s="334" t="e">
        <f>SUM(H277/E277*100)</f>
        <v>#DIV/0!</v>
      </c>
      <c r="J277" s="360">
        <f>SUM(H277/G277*100)</f>
        <v>0</v>
      </c>
    </row>
    <row r="278" spans="1:10" ht="15" hidden="1">
      <c r="A278" s="260" t="s">
        <v>121</v>
      </c>
      <c r="B278" s="260"/>
      <c r="C278" s="261"/>
      <c r="D278" s="262" t="s">
        <v>122</v>
      </c>
      <c r="E278" s="263">
        <f>E279+E288</f>
        <v>0</v>
      </c>
      <c r="F278" s="263">
        <f>F279+F288</f>
        <v>0</v>
      </c>
      <c r="G278" s="263">
        <f>G279+G288</f>
        <v>139358.95</v>
      </c>
      <c r="H278" s="263">
        <f>H279+H288</f>
        <v>0</v>
      </c>
      <c r="I278" s="299" t="e">
        <f>SUM(H278/E278*100)</f>
        <v>#DIV/0!</v>
      </c>
      <c r="J278" s="299">
        <f>SUM(H278/G278*100)</f>
        <v>0</v>
      </c>
    </row>
    <row r="279" spans="1:10" ht="15" hidden="1">
      <c r="A279" s="264"/>
      <c r="B279" s="265">
        <v>31</v>
      </c>
      <c r="C279" s="266"/>
      <c r="D279" s="267" t="s">
        <v>123</v>
      </c>
      <c r="E279" s="268">
        <f>E280+E283+E285</f>
        <v>0</v>
      </c>
      <c r="F279" s="268">
        <f>F280+F283+F285</f>
        <v>0</v>
      </c>
      <c r="G279" s="268">
        <f>G280+G283+G285</f>
        <v>132059.2</v>
      </c>
      <c r="H279" s="268">
        <f>H280+H283+H285</f>
        <v>0</v>
      </c>
      <c r="I279" s="301" t="e">
        <f>SUM(H279/E279*100)</f>
        <v>#DIV/0!</v>
      </c>
      <c r="J279" s="301">
        <f>SUM(H279/G279*100)</f>
        <v>0</v>
      </c>
    </row>
    <row r="280" spans="1:10" ht="15" hidden="1">
      <c r="A280" s="264"/>
      <c r="B280" s="269">
        <v>311</v>
      </c>
      <c r="C280" s="89"/>
      <c r="D280" s="264" t="s">
        <v>124</v>
      </c>
      <c r="E280" s="270">
        <f>SUM(E281:E282)</f>
        <v>0</v>
      </c>
      <c r="F280" s="270">
        <f>SUM(F281:F282)</f>
        <v>0</v>
      </c>
      <c r="G280" s="270">
        <f>SUM(G281:G281)</f>
        <v>106178.26</v>
      </c>
      <c r="H280" s="270">
        <f>SUM(H281:H281)</f>
        <v>0</v>
      </c>
      <c r="I280" s="302"/>
      <c r="J280" s="302"/>
    </row>
    <row r="281" spans="1:10" ht="15" hidden="1">
      <c r="A281" s="89"/>
      <c r="B281" s="271">
        <v>3111</v>
      </c>
      <c r="C281" s="89"/>
      <c r="D281" s="89" t="s">
        <v>125</v>
      </c>
      <c r="E281" s="272">
        <f>F281/7.5345</f>
        <v>0</v>
      </c>
      <c r="F281" s="272"/>
      <c r="G281" s="272">
        <v>106178.26</v>
      </c>
      <c r="H281" s="272">
        <v>0</v>
      </c>
      <c r="I281" s="302"/>
      <c r="J281" s="304"/>
    </row>
    <row r="282" spans="1:10" ht="15" hidden="1">
      <c r="A282" s="89"/>
      <c r="B282" s="271" t="s">
        <v>130</v>
      </c>
      <c r="C282" s="89"/>
      <c r="D282" s="89" t="s">
        <v>246</v>
      </c>
      <c r="E282" s="272">
        <f>F282/7.5345</f>
        <v>0</v>
      </c>
      <c r="F282" s="272"/>
      <c r="G282" s="272">
        <v>0</v>
      </c>
      <c r="H282" s="272">
        <v>0</v>
      </c>
      <c r="I282" s="302"/>
      <c r="J282" s="304"/>
    </row>
    <row r="283" spans="1:10" ht="15" hidden="1">
      <c r="A283" s="264"/>
      <c r="B283" s="269" t="s">
        <v>132</v>
      </c>
      <c r="C283" s="264"/>
      <c r="D283" s="264" t="s">
        <v>133</v>
      </c>
      <c r="E283" s="270">
        <f>SUM(E284)</f>
        <v>0</v>
      </c>
      <c r="F283" s="270">
        <f>SUM(F284)</f>
        <v>0</v>
      </c>
      <c r="G283" s="270">
        <f>SUM(G284)</f>
        <v>4844.38</v>
      </c>
      <c r="H283" s="270">
        <f>SUM(H284)</f>
        <v>0</v>
      </c>
      <c r="I283" s="304"/>
      <c r="J283" s="304"/>
    </row>
    <row r="284" spans="1:10" ht="15" hidden="1">
      <c r="A284" s="89"/>
      <c r="B284" s="271" t="s">
        <v>134</v>
      </c>
      <c r="C284" s="89"/>
      <c r="D284" s="89" t="s">
        <v>133</v>
      </c>
      <c r="E284" s="272">
        <f>F284/7.5345</f>
        <v>0</v>
      </c>
      <c r="F284" s="272"/>
      <c r="G284" s="272">
        <v>4844.38</v>
      </c>
      <c r="H284" s="272">
        <v>0</v>
      </c>
      <c r="I284" s="304"/>
      <c r="J284" s="304"/>
    </row>
    <row r="285" spans="1:10" ht="15" hidden="1">
      <c r="A285" s="264"/>
      <c r="B285" s="273">
        <v>313</v>
      </c>
      <c r="C285" s="264"/>
      <c r="D285" s="264" t="s">
        <v>135</v>
      </c>
      <c r="E285" s="35">
        <f>SUM(E286:E287)</f>
        <v>0</v>
      </c>
      <c r="F285" s="35">
        <f>SUM(F286:F287)</f>
        <v>0</v>
      </c>
      <c r="G285" s="35">
        <f>SUM(G286:G287)</f>
        <v>21036.56</v>
      </c>
      <c r="H285" s="35">
        <f>SUM(H286:H287)</f>
        <v>0</v>
      </c>
      <c r="I285" s="302"/>
      <c r="J285" s="638"/>
    </row>
    <row r="286" spans="1:10" ht="15" hidden="1">
      <c r="A286" s="89"/>
      <c r="B286" s="274" t="s">
        <v>260</v>
      </c>
      <c r="C286" s="89"/>
      <c r="D286" s="89" t="s">
        <v>261</v>
      </c>
      <c r="E286" s="272">
        <f aca="true" t="shared" si="25" ref="E286:E291">F286/7.5345</f>
        <v>0</v>
      </c>
      <c r="F286" s="37"/>
      <c r="G286" s="37">
        <v>0</v>
      </c>
      <c r="H286" s="37">
        <v>0</v>
      </c>
      <c r="I286" s="302"/>
      <c r="J286" s="638"/>
    </row>
    <row r="287" spans="1:10" ht="15" hidden="1">
      <c r="A287" s="89"/>
      <c r="B287" s="274">
        <v>3132</v>
      </c>
      <c r="C287" s="89"/>
      <c r="D287" s="89" t="s">
        <v>136</v>
      </c>
      <c r="E287" s="272">
        <f t="shared" si="25"/>
        <v>0</v>
      </c>
      <c r="F287" s="37"/>
      <c r="G287" s="37">
        <v>21036.56</v>
      </c>
      <c r="H287" s="37">
        <v>0</v>
      </c>
      <c r="I287" s="302"/>
      <c r="J287" s="638"/>
    </row>
    <row r="288" spans="1:10" ht="15" hidden="1">
      <c r="A288" s="264"/>
      <c r="B288" s="265">
        <v>32</v>
      </c>
      <c r="C288" s="266"/>
      <c r="D288" s="267" t="s">
        <v>137</v>
      </c>
      <c r="E288" s="268">
        <f>E289+E292+E294</f>
        <v>0</v>
      </c>
      <c r="F288" s="268">
        <f>F289+F292+F294</f>
        <v>0</v>
      </c>
      <c r="G288" s="268">
        <f>G289+G292+G294</f>
        <v>7299.75</v>
      </c>
      <c r="H288" s="268">
        <f>H289+H292+H294</f>
        <v>0</v>
      </c>
      <c r="I288" s="301" t="e">
        <f>SUM(H288/E288*100)</f>
        <v>#DIV/0!</v>
      </c>
      <c r="J288" s="301">
        <f>SUM(H288/G288*100)</f>
        <v>0</v>
      </c>
    </row>
    <row r="289" spans="1:10" ht="15" hidden="1">
      <c r="A289" s="264"/>
      <c r="B289" s="269">
        <v>321</v>
      </c>
      <c r="C289" s="264"/>
      <c r="D289" s="264" t="s">
        <v>138</v>
      </c>
      <c r="E289" s="270">
        <f>SUM(E290:E291)</f>
        <v>0</v>
      </c>
      <c r="F289" s="270">
        <f>SUM(F290:F291)</f>
        <v>0</v>
      </c>
      <c r="G289" s="270">
        <f>SUM(G290:G291)</f>
        <v>7299.75</v>
      </c>
      <c r="H289" s="270">
        <f>SUM(H290:H291)</f>
        <v>0</v>
      </c>
      <c r="I289" s="302"/>
      <c r="J289" s="304"/>
    </row>
    <row r="290" spans="1:10" ht="15" hidden="1">
      <c r="A290" s="89"/>
      <c r="B290" s="271" t="s">
        <v>139</v>
      </c>
      <c r="C290" s="89"/>
      <c r="D290" s="89" t="s">
        <v>140</v>
      </c>
      <c r="E290" s="272">
        <f t="shared" si="25"/>
        <v>0</v>
      </c>
      <c r="F290" s="272">
        <v>0</v>
      </c>
      <c r="G290" s="272">
        <v>663.61</v>
      </c>
      <c r="H290" s="272">
        <v>0</v>
      </c>
      <c r="I290" s="302"/>
      <c r="J290" s="304"/>
    </row>
    <row r="291" spans="1:10" ht="15" hidden="1">
      <c r="A291" s="89"/>
      <c r="B291" s="271" t="s">
        <v>141</v>
      </c>
      <c r="C291" s="89"/>
      <c r="D291" s="275" t="s">
        <v>142</v>
      </c>
      <c r="E291" s="272">
        <f t="shared" si="25"/>
        <v>0</v>
      </c>
      <c r="F291" s="272"/>
      <c r="G291" s="272">
        <v>6636.14</v>
      </c>
      <c r="H291" s="272">
        <v>0</v>
      </c>
      <c r="I291" s="302"/>
      <c r="J291" s="304"/>
    </row>
    <row r="292" spans="1:10" ht="15" hidden="1">
      <c r="A292" s="264"/>
      <c r="B292" s="269" t="s">
        <v>147</v>
      </c>
      <c r="C292" s="264"/>
      <c r="D292" s="276" t="s">
        <v>148</v>
      </c>
      <c r="E292" s="270">
        <f>SUM(E293:E293)</f>
        <v>0</v>
      </c>
      <c r="F292" s="270">
        <f>SUM(F293:F293)</f>
        <v>0</v>
      </c>
      <c r="G292" s="270">
        <f>SUM(G293:G293)</f>
        <v>0</v>
      </c>
      <c r="H292" s="270">
        <f>SUM(H293:H293)</f>
        <v>0</v>
      </c>
      <c r="I292" s="302"/>
      <c r="J292" s="304"/>
    </row>
    <row r="293" spans="1:10" ht="15" hidden="1">
      <c r="A293" s="264"/>
      <c r="B293" s="271" t="s">
        <v>153</v>
      </c>
      <c r="C293" s="264"/>
      <c r="D293" s="89" t="s">
        <v>154</v>
      </c>
      <c r="E293" s="272">
        <f>F293/7.5345</f>
        <v>0</v>
      </c>
      <c r="F293" s="272"/>
      <c r="G293" s="272">
        <v>0</v>
      </c>
      <c r="H293" s="272">
        <v>0</v>
      </c>
      <c r="I293" s="302"/>
      <c r="J293" s="304"/>
    </row>
    <row r="294" spans="1:10" ht="15" hidden="1">
      <c r="A294" s="264"/>
      <c r="B294" s="269" t="s">
        <v>161</v>
      </c>
      <c r="C294" s="264"/>
      <c r="D294" s="276" t="s">
        <v>162</v>
      </c>
      <c r="E294" s="270">
        <f>SUM(E295:E295)</f>
        <v>0</v>
      </c>
      <c r="F294" s="270">
        <f>SUM(F295:F295)</f>
        <v>0</v>
      </c>
      <c r="G294" s="270">
        <f>SUM(G295:G295)</f>
        <v>0</v>
      </c>
      <c r="H294" s="270">
        <f>SUM(H295:H295)</f>
        <v>0</v>
      </c>
      <c r="I294" s="302"/>
      <c r="J294" s="304"/>
    </row>
    <row r="295" spans="1:10" ht="15" hidden="1">
      <c r="A295" s="264"/>
      <c r="B295" s="271" t="s">
        <v>167</v>
      </c>
      <c r="C295" s="264"/>
      <c r="D295" s="275" t="s">
        <v>168</v>
      </c>
      <c r="E295" s="272">
        <f>F295/7.5345</f>
        <v>0</v>
      </c>
      <c r="F295" s="272">
        <v>0</v>
      </c>
      <c r="G295" s="272">
        <v>0</v>
      </c>
      <c r="H295" s="272">
        <v>0</v>
      </c>
      <c r="I295" s="302"/>
      <c r="J295" s="304"/>
    </row>
    <row r="296" spans="1:10" ht="15" hidden="1">
      <c r="A296" s="318">
        <v>4</v>
      </c>
      <c r="B296" s="319"/>
      <c r="C296" s="320"/>
      <c r="D296" s="321" t="s">
        <v>209</v>
      </c>
      <c r="E296" s="322">
        <f aca="true" t="shared" si="26" ref="E296:H298">E297</f>
        <v>0</v>
      </c>
      <c r="F296" s="322">
        <f t="shared" si="26"/>
        <v>0</v>
      </c>
      <c r="G296" s="322">
        <f t="shared" si="26"/>
        <v>152631.23</v>
      </c>
      <c r="H296" s="322">
        <f t="shared" si="26"/>
        <v>0</v>
      </c>
      <c r="I296" s="299" t="e">
        <f aca="true" t="shared" si="27" ref="I296:I302">SUM(H296/E296*100)</f>
        <v>#DIV/0!</v>
      </c>
      <c r="J296" s="299">
        <f>SUM(H296/G296*100)</f>
        <v>0</v>
      </c>
    </row>
    <row r="297" spans="1:10" ht="15" hidden="1">
      <c r="A297" s="264"/>
      <c r="B297" s="265" t="s">
        <v>231</v>
      </c>
      <c r="C297" s="266"/>
      <c r="D297" s="324" t="s">
        <v>232</v>
      </c>
      <c r="E297" s="287">
        <f t="shared" si="26"/>
        <v>0</v>
      </c>
      <c r="F297" s="287">
        <f t="shared" si="26"/>
        <v>0</v>
      </c>
      <c r="G297" s="287">
        <f t="shared" si="26"/>
        <v>152631.23</v>
      </c>
      <c r="H297" s="287">
        <f t="shared" si="26"/>
        <v>0</v>
      </c>
      <c r="I297" s="301" t="e">
        <f t="shared" si="27"/>
        <v>#DIV/0!</v>
      </c>
      <c r="J297" s="301">
        <f>SUM(H297/G297*100)</f>
        <v>0</v>
      </c>
    </row>
    <row r="298" spans="1:10" ht="15" hidden="1">
      <c r="A298" s="264"/>
      <c r="B298" s="269" t="s">
        <v>233</v>
      </c>
      <c r="C298" s="264"/>
      <c r="D298" s="264" t="s">
        <v>234</v>
      </c>
      <c r="E298" s="270">
        <f t="shared" si="26"/>
        <v>0</v>
      </c>
      <c r="F298" s="270">
        <f t="shared" si="26"/>
        <v>0</v>
      </c>
      <c r="G298" s="270">
        <f t="shared" si="26"/>
        <v>152631.23</v>
      </c>
      <c r="H298" s="270">
        <f t="shared" si="26"/>
        <v>0</v>
      </c>
      <c r="I298" s="304"/>
      <c r="J298" s="304"/>
    </row>
    <row r="299" spans="1:10" ht="15" hidden="1">
      <c r="A299" s="264"/>
      <c r="B299" s="271" t="s">
        <v>235</v>
      </c>
      <c r="C299" s="89"/>
      <c r="D299" s="89" t="s">
        <v>234</v>
      </c>
      <c r="E299" s="272">
        <f>F299/7.5345</f>
        <v>0</v>
      </c>
      <c r="F299" s="272">
        <v>0</v>
      </c>
      <c r="G299" s="272">
        <v>152631.23</v>
      </c>
      <c r="H299" s="272">
        <v>0</v>
      </c>
      <c r="I299" s="302"/>
      <c r="J299" s="304"/>
    </row>
    <row r="300" spans="1:10" ht="15" hidden="1">
      <c r="A300" s="328"/>
      <c r="B300" s="329"/>
      <c r="C300" s="344">
        <v>52</v>
      </c>
      <c r="D300" s="345" t="s">
        <v>262</v>
      </c>
      <c r="E300" s="346">
        <f>E278+E296</f>
        <v>0</v>
      </c>
      <c r="F300" s="346">
        <f>F278+F296</f>
        <v>0</v>
      </c>
      <c r="G300" s="346">
        <f>G278+G296</f>
        <v>291990.18000000005</v>
      </c>
      <c r="H300" s="346">
        <f>H278</f>
        <v>0</v>
      </c>
      <c r="I300" s="360" t="e">
        <f t="shared" si="27"/>
        <v>#DIV/0!</v>
      </c>
      <c r="J300" s="360">
        <f>SUM(H300/G300*100)</f>
        <v>0</v>
      </c>
    </row>
    <row r="301" spans="1:10" ht="15" hidden="1">
      <c r="A301" s="260" t="s">
        <v>121</v>
      </c>
      <c r="B301" s="260"/>
      <c r="C301" s="261"/>
      <c r="D301" s="262" t="s">
        <v>122</v>
      </c>
      <c r="E301" s="371">
        <f>E302</f>
        <v>0</v>
      </c>
      <c r="F301" s="371">
        <f>F302</f>
        <v>0</v>
      </c>
      <c r="G301" s="371">
        <f>G302</f>
        <v>27208.170000000002</v>
      </c>
      <c r="H301" s="371">
        <f>H302</f>
        <v>0</v>
      </c>
      <c r="I301" s="299" t="e">
        <f t="shared" si="27"/>
        <v>#DIV/0!</v>
      </c>
      <c r="J301" s="299">
        <v>0</v>
      </c>
    </row>
    <row r="302" spans="1:10" ht="15" hidden="1">
      <c r="A302" s="264"/>
      <c r="B302" s="265">
        <v>32</v>
      </c>
      <c r="C302" s="266"/>
      <c r="D302" s="267" t="s">
        <v>137</v>
      </c>
      <c r="E302" s="287">
        <f>E303</f>
        <v>0</v>
      </c>
      <c r="F302" s="287">
        <f>F303</f>
        <v>0</v>
      </c>
      <c r="G302" s="287">
        <f>G303+G306</f>
        <v>27208.170000000002</v>
      </c>
      <c r="H302" s="287">
        <f>H303+H306</f>
        <v>0</v>
      </c>
      <c r="I302" s="301" t="e">
        <f t="shared" si="27"/>
        <v>#DIV/0!</v>
      </c>
      <c r="J302" s="301">
        <v>0</v>
      </c>
    </row>
    <row r="303" spans="1:10" ht="15" hidden="1">
      <c r="A303" s="264"/>
      <c r="B303" s="269">
        <v>321</v>
      </c>
      <c r="C303" s="264"/>
      <c r="D303" s="264" t="s">
        <v>138</v>
      </c>
      <c r="E303" s="270">
        <f>E305</f>
        <v>0</v>
      </c>
      <c r="F303" s="270">
        <f>F305</f>
        <v>0</v>
      </c>
      <c r="G303" s="270">
        <f>G305+G304</f>
        <v>663.61</v>
      </c>
      <c r="H303" s="270">
        <f>H305+H304</f>
        <v>0</v>
      </c>
      <c r="I303" s="302"/>
      <c r="J303" s="304"/>
    </row>
    <row r="304" spans="1:10" ht="15" hidden="1">
      <c r="A304" s="89"/>
      <c r="B304" s="271" t="s">
        <v>139</v>
      </c>
      <c r="C304" s="89"/>
      <c r="D304" s="89" t="s">
        <v>140</v>
      </c>
      <c r="E304" s="272">
        <f>F304/7.5345</f>
        <v>0</v>
      </c>
      <c r="F304" s="272">
        <v>0</v>
      </c>
      <c r="G304" s="272">
        <v>663.61</v>
      </c>
      <c r="H304" s="272">
        <v>0</v>
      </c>
      <c r="I304" s="302"/>
      <c r="J304" s="302"/>
    </row>
    <row r="305" spans="1:10" ht="15" hidden="1">
      <c r="A305" s="89"/>
      <c r="B305" s="271" t="s">
        <v>143</v>
      </c>
      <c r="C305" s="89"/>
      <c r="D305" s="89" t="s">
        <v>144</v>
      </c>
      <c r="E305" s="272">
        <f>F305/7.5345</f>
        <v>0</v>
      </c>
      <c r="F305" s="272"/>
      <c r="G305" s="272">
        <v>0</v>
      </c>
      <c r="H305" s="272">
        <v>0</v>
      </c>
      <c r="I305" s="302"/>
      <c r="J305" s="304"/>
    </row>
    <row r="306" spans="1:10" s="246" customFormat="1" ht="15" hidden="1">
      <c r="A306" s="264"/>
      <c r="B306" s="269" t="s">
        <v>147</v>
      </c>
      <c r="C306" s="264"/>
      <c r="D306" s="264" t="s">
        <v>148</v>
      </c>
      <c r="E306" s="270">
        <f>E307</f>
        <v>0</v>
      </c>
      <c r="F306" s="270">
        <f>F307</f>
        <v>0</v>
      </c>
      <c r="G306" s="270">
        <f>G307</f>
        <v>26544.56</v>
      </c>
      <c r="H306" s="270">
        <f>H307</f>
        <v>0</v>
      </c>
      <c r="I306" s="304"/>
      <c r="J306" s="304"/>
    </row>
    <row r="307" spans="1:10" ht="15" hidden="1">
      <c r="A307" s="89"/>
      <c r="B307" s="271" t="s">
        <v>151</v>
      </c>
      <c r="C307" s="89"/>
      <c r="D307" s="89" t="s">
        <v>152</v>
      </c>
      <c r="E307" s="272">
        <f>F307/7.5345</f>
        <v>0</v>
      </c>
      <c r="F307" s="272">
        <v>0</v>
      </c>
      <c r="G307" s="272">
        <v>26544.56</v>
      </c>
      <c r="H307" s="272">
        <v>0</v>
      </c>
      <c r="I307" s="302"/>
      <c r="J307" s="304"/>
    </row>
    <row r="308" spans="1:10" ht="15" hidden="1">
      <c r="A308" s="372">
        <v>4</v>
      </c>
      <c r="B308" s="373"/>
      <c r="C308" s="374"/>
      <c r="D308" s="321" t="s">
        <v>209</v>
      </c>
      <c r="E308" s="322">
        <f aca="true" t="shared" si="28" ref="E308:H309">E309</f>
        <v>0</v>
      </c>
      <c r="F308" s="322">
        <f t="shared" si="28"/>
        <v>0</v>
      </c>
      <c r="G308" s="322">
        <f t="shared" si="28"/>
        <v>92905.96</v>
      </c>
      <c r="H308" s="322">
        <f t="shared" si="28"/>
        <v>0</v>
      </c>
      <c r="I308" s="299" t="e">
        <f>SUM(H308/E308*100)</f>
        <v>#DIV/0!</v>
      </c>
      <c r="J308" s="299">
        <f>SUM(H308/G308*100)</f>
        <v>0</v>
      </c>
    </row>
    <row r="309" spans="1:10" ht="15" hidden="1">
      <c r="A309" s="375"/>
      <c r="B309" s="265">
        <v>42</v>
      </c>
      <c r="C309" s="266"/>
      <c r="D309" s="267" t="s">
        <v>218</v>
      </c>
      <c r="E309" s="287">
        <f t="shared" si="28"/>
        <v>0</v>
      </c>
      <c r="F309" s="287">
        <f t="shared" si="28"/>
        <v>0</v>
      </c>
      <c r="G309" s="287">
        <f t="shared" si="28"/>
        <v>92905.96</v>
      </c>
      <c r="H309" s="287">
        <f t="shared" si="28"/>
        <v>0</v>
      </c>
      <c r="I309" s="301" t="e">
        <f>SUM(H309/E309*100)</f>
        <v>#DIV/0!</v>
      </c>
      <c r="J309" s="301">
        <f>SUM(H309/G309*100)</f>
        <v>0</v>
      </c>
    </row>
    <row r="310" spans="1:10" ht="15" hidden="1">
      <c r="A310" s="378"/>
      <c r="B310" s="269">
        <v>422</v>
      </c>
      <c r="C310" s="264"/>
      <c r="D310" s="264" t="s">
        <v>219</v>
      </c>
      <c r="E310" s="379">
        <f>SUM(E311:E313)</f>
        <v>0</v>
      </c>
      <c r="F310" s="379">
        <f>SUM(F311:F313)</f>
        <v>0</v>
      </c>
      <c r="G310" s="379">
        <f>SUM(G311:G314)</f>
        <v>92905.96</v>
      </c>
      <c r="H310" s="379">
        <f>SUM(H311:H314)</f>
        <v>0</v>
      </c>
      <c r="I310" s="302"/>
      <c r="J310" s="652"/>
    </row>
    <row r="311" spans="1:10" ht="15" hidden="1">
      <c r="A311" s="380"/>
      <c r="B311" s="271" t="s">
        <v>220</v>
      </c>
      <c r="C311" s="89"/>
      <c r="D311" s="89" t="s">
        <v>221</v>
      </c>
      <c r="E311" s="272">
        <f>F311/7.5345</f>
        <v>0</v>
      </c>
      <c r="F311" s="381"/>
      <c r="G311" s="381">
        <v>0</v>
      </c>
      <c r="H311" s="381">
        <v>0</v>
      </c>
      <c r="I311" s="302"/>
      <c r="J311" s="653"/>
    </row>
    <row r="312" spans="1:10" ht="15" hidden="1">
      <c r="A312" s="380"/>
      <c r="B312" s="271" t="s">
        <v>263</v>
      </c>
      <c r="C312" s="89"/>
      <c r="D312" s="89" t="s">
        <v>224</v>
      </c>
      <c r="E312" s="272">
        <f>F312/7.5345</f>
        <v>0</v>
      </c>
      <c r="F312" s="381"/>
      <c r="G312" s="381">
        <v>0</v>
      </c>
      <c r="H312" s="381">
        <v>0</v>
      </c>
      <c r="I312" s="302"/>
      <c r="J312" s="653"/>
    </row>
    <row r="313" spans="1:10" ht="15" hidden="1">
      <c r="A313" s="378"/>
      <c r="B313" s="271" t="s">
        <v>264</v>
      </c>
      <c r="C313" s="89"/>
      <c r="D313" s="89" t="s">
        <v>225</v>
      </c>
      <c r="E313" s="272">
        <f>F313/7.5345</f>
        <v>0</v>
      </c>
      <c r="F313" s="381"/>
      <c r="G313" s="381">
        <v>92905.96</v>
      </c>
      <c r="H313" s="381">
        <v>0</v>
      </c>
      <c r="I313" s="430"/>
      <c r="J313" s="652"/>
    </row>
    <row r="314" spans="1:10" ht="15" hidden="1">
      <c r="A314" s="378"/>
      <c r="B314" s="271" t="s">
        <v>265</v>
      </c>
      <c r="C314" s="89"/>
      <c r="D314" s="89" t="s">
        <v>226</v>
      </c>
      <c r="E314" s="272"/>
      <c r="F314" s="381"/>
      <c r="G314" s="381">
        <v>0</v>
      </c>
      <c r="H314" s="381">
        <v>0</v>
      </c>
      <c r="I314" s="430"/>
      <c r="J314" s="652"/>
    </row>
    <row r="315" spans="1:10" ht="15" hidden="1">
      <c r="A315" s="382"/>
      <c r="B315" s="383"/>
      <c r="C315" s="344" t="s">
        <v>102</v>
      </c>
      <c r="D315" s="345" t="s">
        <v>103</v>
      </c>
      <c r="E315" s="384">
        <f>E308+E301</f>
        <v>0</v>
      </c>
      <c r="F315" s="384">
        <f>F308+F301</f>
        <v>0</v>
      </c>
      <c r="G315" s="384">
        <f>G308+G301</f>
        <v>120114.13</v>
      </c>
      <c r="H315" s="384">
        <f>H308+H301</f>
        <v>0</v>
      </c>
      <c r="I315" s="360" t="e">
        <f>SUM(H315/E315*100)</f>
        <v>#DIV/0!</v>
      </c>
      <c r="J315" s="360">
        <f>SUM(H315/G315*100)</f>
        <v>0</v>
      </c>
    </row>
    <row r="316" spans="1:10" ht="15" hidden="1">
      <c r="A316" s="260" t="s">
        <v>121</v>
      </c>
      <c r="B316" s="260"/>
      <c r="C316" s="261"/>
      <c r="D316" s="262" t="s">
        <v>122</v>
      </c>
      <c r="E316" s="385">
        <f>SUM(E320,E317,E322)</f>
        <v>0</v>
      </c>
      <c r="F316" s="385">
        <f>SUM(F320,F317,F322)</f>
        <v>0</v>
      </c>
      <c r="G316" s="385">
        <f>SUM(G320,G317)</f>
        <v>9954.210000000001</v>
      </c>
      <c r="H316" s="385">
        <f>SUM(H320,H317)</f>
        <v>0</v>
      </c>
      <c r="I316" s="299" t="e">
        <f>SUM(H316/E316*100)</f>
        <v>#DIV/0!</v>
      </c>
      <c r="J316" s="299">
        <f>SUM(H316/G316*100)</f>
        <v>0</v>
      </c>
    </row>
    <row r="317" spans="1:11" s="246" customFormat="1" ht="15" hidden="1">
      <c r="A317" s="386"/>
      <c r="B317" s="387" t="s">
        <v>147</v>
      </c>
      <c r="C317" s="388"/>
      <c r="D317" s="389" t="s">
        <v>148</v>
      </c>
      <c r="E317" s="390">
        <f>E318</f>
        <v>0</v>
      </c>
      <c r="F317" s="390">
        <f>F318</f>
        <v>0</v>
      </c>
      <c r="G317" s="390">
        <f>G318</f>
        <v>6636.14</v>
      </c>
      <c r="H317" s="390">
        <f>SUM(H318:H319)</f>
        <v>0</v>
      </c>
      <c r="I317" s="431"/>
      <c r="J317" s="431"/>
      <c r="K317" s="654"/>
    </row>
    <row r="318" spans="1:11" ht="15" hidden="1">
      <c r="A318" s="391"/>
      <c r="B318" s="392" t="s">
        <v>151</v>
      </c>
      <c r="C318" s="393"/>
      <c r="D318" s="394" t="s">
        <v>152</v>
      </c>
      <c r="E318" s="272">
        <f aca="true" t="shared" si="29" ref="E318:E323">F318/7.5345</f>
        <v>0</v>
      </c>
      <c r="F318" s="395">
        <v>0</v>
      </c>
      <c r="G318" s="395">
        <v>6636.14</v>
      </c>
      <c r="H318" s="395">
        <v>0</v>
      </c>
      <c r="I318" s="432"/>
      <c r="J318" s="432"/>
      <c r="K318" s="248"/>
    </row>
    <row r="319" spans="1:11" ht="15" hidden="1">
      <c r="A319" s="391"/>
      <c r="B319" s="392" t="s">
        <v>155</v>
      </c>
      <c r="C319" s="315"/>
      <c r="D319" s="651" t="s">
        <v>156</v>
      </c>
      <c r="E319" s="272"/>
      <c r="F319" s="395"/>
      <c r="G319" s="395"/>
      <c r="H319" s="395">
        <v>0</v>
      </c>
      <c r="I319" s="432"/>
      <c r="J319" s="432"/>
      <c r="K319" s="248"/>
    </row>
    <row r="320" spans="1:10" ht="15" hidden="1">
      <c r="A320" s="382"/>
      <c r="B320" s="396" t="s">
        <v>161</v>
      </c>
      <c r="C320" s="397"/>
      <c r="D320" s="398" t="s">
        <v>162</v>
      </c>
      <c r="E320" s="390">
        <f>SUM(E321)</f>
        <v>0</v>
      </c>
      <c r="F320" s="390">
        <f>SUM(F321)</f>
        <v>0</v>
      </c>
      <c r="G320" s="390">
        <f>SUM(G321)</f>
        <v>3318.07</v>
      </c>
      <c r="H320" s="390">
        <f>SUM(H321)</f>
        <v>0</v>
      </c>
      <c r="I320" s="433"/>
      <c r="J320" s="433"/>
    </row>
    <row r="321" spans="1:10" ht="15" hidden="1">
      <c r="A321" s="382"/>
      <c r="B321" s="399" t="s">
        <v>165</v>
      </c>
      <c r="C321" s="400"/>
      <c r="D321" s="401" t="s">
        <v>166</v>
      </c>
      <c r="E321" s="272">
        <f t="shared" si="29"/>
        <v>0</v>
      </c>
      <c r="F321" s="395"/>
      <c r="G321" s="395">
        <v>3318.07</v>
      </c>
      <c r="H321" s="395">
        <v>0</v>
      </c>
      <c r="I321" s="431"/>
      <c r="J321" s="431"/>
    </row>
    <row r="322" spans="1:10" s="246" customFormat="1" ht="15" hidden="1">
      <c r="A322" s="382"/>
      <c r="B322" s="396" t="s">
        <v>254</v>
      </c>
      <c r="C322" s="400"/>
      <c r="D322" s="398" t="s">
        <v>255</v>
      </c>
      <c r="E322" s="390">
        <f>E323</f>
        <v>0</v>
      </c>
      <c r="F322" s="390">
        <f>F323</f>
        <v>0</v>
      </c>
      <c r="G322" s="390">
        <f>G323</f>
        <v>0</v>
      </c>
      <c r="H322" s="390">
        <f>H323</f>
        <v>0</v>
      </c>
      <c r="I322" s="431"/>
      <c r="J322" s="431"/>
    </row>
    <row r="323" spans="1:10" ht="15" hidden="1">
      <c r="A323" s="382"/>
      <c r="B323" s="399" t="s">
        <v>266</v>
      </c>
      <c r="C323" s="400"/>
      <c r="D323" s="401" t="s">
        <v>182</v>
      </c>
      <c r="E323" s="272">
        <f t="shared" si="29"/>
        <v>0</v>
      </c>
      <c r="F323" s="395"/>
      <c r="G323" s="395">
        <v>0</v>
      </c>
      <c r="H323" s="395">
        <v>0</v>
      </c>
      <c r="I323" s="431"/>
      <c r="J323" s="431"/>
    </row>
    <row r="324" spans="1:10" ht="15" hidden="1">
      <c r="A324" s="372">
        <v>4</v>
      </c>
      <c r="B324" s="655"/>
      <c r="C324" s="655"/>
      <c r="D324" s="321" t="s">
        <v>209</v>
      </c>
      <c r="E324" s="656">
        <f>E325</f>
        <v>0</v>
      </c>
      <c r="F324" s="656">
        <f>F325</f>
        <v>0</v>
      </c>
      <c r="G324" s="656">
        <f>G325</f>
        <v>796.34</v>
      </c>
      <c r="H324" s="656">
        <f>H325</f>
        <v>0</v>
      </c>
      <c r="I324" s="299" t="e">
        <f>SUM(H324/E324*100)</f>
        <v>#DIV/0!</v>
      </c>
      <c r="J324" s="299">
        <f>SUM(H324/G324*100)</f>
        <v>0</v>
      </c>
    </row>
    <row r="325" spans="1:10" ht="15" hidden="1">
      <c r="A325" s="264"/>
      <c r="B325" s="265">
        <v>42</v>
      </c>
      <c r="C325" s="266"/>
      <c r="D325" s="267" t="s">
        <v>218</v>
      </c>
      <c r="E325" s="268">
        <f aca="true" t="shared" si="30" ref="E325:G326">SUM(E326)</f>
        <v>0</v>
      </c>
      <c r="F325" s="268">
        <f t="shared" si="30"/>
        <v>0</v>
      </c>
      <c r="G325" s="268">
        <f t="shared" si="30"/>
        <v>796.34</v>
      </c>
      <c r="H325" s="268">
        <f>SUM(H326,H328)</f>
        <v>0</v>
      </c>
      <c r="I325" s="301" t="e">
        <f>SUM(H325/E325*100)</f>
        <v>#DIV/0!</v>
      </c>
      <c r="J325" s="301">
        <f>SUM(H325/G325*100)</f>
        <v>0</v>
      </c>
    </row>
    <row r="326" spans="1:10" ht="15" hidden="1">
      <c r="A326" s="376"/>
      <c r="B326" s="269">
        <v>422</v>
      </c>
      <c r="C326" s="264"/>
      <c r="D326" s="264" t="s">
        <v>219</v>
      </c>
      <c r="E326" s="379">
        <f t="shared" si="30"/>
        <v>0</v>
      </c>
      <c r="F326" s="379">
        <f t="shared" si="30"/>
        <v>0</v>
      </c>
      <c r="G326" s="379">
        <f t="shared" si="30"/>
        <v>796.34</v>
      </c>
      <c r="H326" s="379">
        <f>SUM(H327)</f>
        <v>0</v>
      </c>
      <c r="I326" s="302"/>
      <c r="J326" s="302"/>
    </row>
    <row r="327" spans="1:10" ht="15" hidden="1">
      <c r="A327" s="377"/>
      <c r="B327" s="271" t="s">
        <v>264</v>
      </c>
      <c r="C327" s="89"/>
      <c r="D327" s="89" t="s">
        <v>225</v>
      </c>
      <c r="E327" s="272">
        <f>F327/7.5345</f>
        <v>0</v>
      </c>
      <c r="F327" s="381"/>
      <c r="G327" s="381">
        <v>796.34</v>
      </c>
      <c r="H327" s="381">
        <v>0</v>
      </c>
      <c r="I327" s="430"/>
      <c r="J327" s="659"/>
    </row>
    <row r="328" spans="1:10" ht="15" hidden="1">
      <c r="A328" s="406"/>
      <c r="B328" s="411" t="s">
        <v>267</v>
      </c>
      <c r="C328" s="412"/>
      <c r="D328" s="412" t="s">
        <v>229</v>
      </c>
      <c r="E328" s="618"/>
      <c r="F328" s="413"/>
      <c r="G328" s="379">
        <f>SUM(G329)</f>
        <v>0</v>
      </c>
      <c r="H328" s="379">
        <f>SUM(H329)</f>
        <v>0</v>
      </c>
      <c r="I328" s="435"/>
      <c r="J328" s="660"/>
    </row>
    <row r="329" spans="1:10" ht="15" hidden="1">
      <c r="A329" s="406"/>
      <c r="B329" s="407" t="s">
        <v>268</v>
      </c>
      <c r="C329" s="408"/>
      <c r="D329" s="408" t="s">
        <v>230</v>
      </c>
      <c r="E329" s="622"/>
      <c r="F329" s="409"/>
      <c r="G329" s="409"/>
      <c r="H329" s="409">
        <v>0</v>
      </c>
      <c r="I329" s="435"/>
      <c r="J329" s="660"/>
    </row>
    <row r="330" spans="1:10" ht="30" hidden="1">
      <c r="A330" s="419"/>
      <c r="B330" s="420"/>
      <c r="C330" s="421" t="s">
        <v>269</v>
      </c>
      <c r="D330" s="422" t="s">
        <v>270</v>
      </c>
      <c r="E330" s="415">
        <f>SUM(E325,E316)</f>
        <v>0</v>
      </c>
      <c r="F330" s="415">
        <f>SUM(F325,F316)</f>
        <v>0</v>
      </c>
      <c r="G330" s="416">
        <f>G316+G324</f>
        <v>10750.550000000001</v>
      </c>
      <c r="H330" s="416">
        <f>SUM(H325,H316)</f>
        <v>0</v>
      </c>
      <c r="I330" s="436" t="e">
        <f>SUM(H330/E330*100)</f>
        <v>#DIV/0!</v>
      </c>
      <c r="J330" s="436">
        <f>SUM(H330/G330*100)</f>
        <v>0</v>
      </c>
    </row>
    <row r="331" spans="1:10" ht="15.75" hidden="1">
      <c r="A331" s="717" t="s">
        <v>271</v>
      </c>
      <c r="B331" s="718"/>
      <c r="C331" s="718"/>
      <c r="D331" s="719"/>
      <c r="E331" s="429">
        <f>E85+E149+E173+E230+E249+E278+E296+E301+E308+E316+E324</f>
        <v>0</v>
      </c>
      <c r="F331" s="429">
        <f>F85+F149+F173+F230+F249+F278+F296+F301+F308+F316+F324</f>
        <v>0</v>
      </c>
      <c r="G331" s="429">
        <f>G85+G149+G173+G230+G249+G278+G296+G301+G308+G316+G324</f>
        <v>65101801.73</v>
      </c>
      <c r="H331" s="429">
        <f>H85+H149+H173+H230+H249+H278+H301+H308+H316+H324+H274+H296</f>
        <v>0</v>
      </c>
      <c r="I331" s="438" t="e">
        <f>SUM(H331/F331*100)</f>
        <v>#DIV/0!</v>
      </c>
      <c r="J331" s="636">
        <f>SUM(H331/G331*100)</f>
        <v>0</v>
      </c>
    </row>
    <row r="332" spans="4:8" ht="15" hidden="1">
      <c r="D332" s="307"/>
      <c r="E332" s="307"/>
      <c r="G332" s="657" t="s">
        <v>272</v>
      </c>
      <c r="H332" s="658"/>
    </row>
    <row r="333" spans="7:8" ht="15" hidden="1">
      <c r="G333" s="440"/>
      <c r="H333" s="441">
        <f>H331+H332</f>
        <v>0</v>
      </c>
    </row>
    <row r="334" ht="15" hidden="1"/>
    <row r="335" spans="4:8" ht="15" hidden="1">
      <c r="D335" s="442"/>
      <c r="E335" s="442"/>
      <c r="F335" s="443"/>
      <c r="H335" s="444">
        <f>H78-H333</f>
        <v>0</v>
      </c>
    </row>
    <row r="336" spans="4:7" ht="15" hidden="1">
      <c r="D336" s="442"/>
      <c r="E336" s="442"/>
      <c r="F336" s="443"/>
      <c r="G336" s="359"/>
    </row>
    <row r="337" spans="4:6" ht="15">
      <c r="D337" s="307"/>
      <c r="E337" s="307"/>
      <c r="F337" s="443"/>
    </row>
  </sheetData>
  <sheetProtection/>
  <mergeCells count="9">
    <mergeCell ref="A82:J82"/>
    <mergeCell ref="A84:D84"/>
    <mergeCell ref="A331:D331"/>
    <mergeCell ref="A1:J1"/>
    <mergeCell ref="A2:J2"/>
    <mergeCell ref="A3:J3"/>
    <mergeCell ref="A5:J5"/>
    <mergeCell ref="A7:D7"/>
    <mergeCell ref="A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5"/>
  <sheetViews>
    <sheetView zoomScaleSheetLayoutView="100" workbookViewId="0" topLeftCell="A1">
      <selection activeCell="N24" sqref="N24"/>
    </sheetView>
  </sheetViews>
  <sheetFormatPr defaultColWidth="9.140625" defaultRowHeight="15"/>
  <cols>
    <col min="1" max="1" width="7.00390625" style="0" bestFit="1" customWidth="1"/>
    <col min="2" max="2" width="9.140625" style="0" customWidth="1"/>
    <col min="3" max="3" width="41.28125" style="0" bestFit="1" customWidth="1"/>
    <col min="4" max="4" width="23.28125" style="0" customWidth="1"/>
    <col min="5" max="7" width="21.8515625" style="0" customWidth="1"/>
  </cols>
  <sheetData>
    <row r="2" spans="1:7" ht="15.75" customHeight="1">
      <c r="A2" s="724" t="s">
        <v>1</v>
      </c>
      <c r="B2" s="724"/>
      <c r="C2" s="724"/>
      <c r="D2" s="724"/>
      <c r="E2" s="724"/>
      <c r="F2" s="724"/>
      <c r="G2" s="724"/>
    </row>
    <row r="3" spans="1:7" ht="15.75" customHeight="1">
      <c r="A3" s="522"/>
      <c r="B3" s="522"/>
      <c r="C3" s="522"/>
      <c r="D3" s="522"/>
      <c r="E3" s="522"/>
      <c r="F3" s="522"/>
      <c r="G3" s="522"/>
    </row>
    <row r="4" spans="1:7" ht="15.75" customHeight="1">
      <c r="A4" s="724" t="s">
        <v>30</v>
      </c>
      <c r="B4" s="724"/>
      <c r="C4" s="724"/>
      <c r="D4" s="724"/>
      <c r="E4" s="724"/>
      <c r="F4" s="724"/>
      <c r="G4" s="724"/>
    </row>
    <row r="5" spans="1:7" ht="15">
      <c r="A5" s="523"/>
      <c r="B5" s="523"/>
      <c r="C5" s="523"/>
      <c r="D5" s="523"/>
      <c r="E5" s="523"/>
      <c r="F5" s="523"/>
      <c r="G5" s="523"/>
    </row>
    <row r="6" spans="1:7" ht="15.75">
      <c r="A6" s="725" t="s">
        <v>273</v>
      </c>
      <c r="B6" s="725"/>
      <c r="C6" s="725"/>
      <c r="D6" s="725"/>
      <c r="E6" s="725"/>
      <c r="F6" s="725"/>
      <c r="G6" s="725"/>
    </row>
    <row r="7" spans="1:7" ht="15">
      <c r="A7" s="524"/>
      <c r="B7" s="726"/>
      <c r="C7" s="726"/>
      <c r="D7" s="726"/>
      <c r="E7" s="726"/>
      <c r="F7" s="726"/>
      <c r="G7" s="726"/>
    </row>
    <row r="8" spans="1:7" ht="15.75">
      <c r="A8" s="727" t="s">
        <v>32</v>
      </c>
      <c r="B8" s="728"/>
      <c r="C8" s="728"/>
      <c r="D8" s="728"/>
      <c r="E8" s="728"/>
      <c r="F8" s="728"/>
      <c r="G8" s="728"/>
    </row>
    <row r="9" spans="1:7" ht="60">
      <c r="A9" s="458" t="s">
        <v>33</v>
      </c>
      <c r="B9" s="458" t="s">
        <v>34</v>
      </c>
      <c r="C9" s="459" t="s">
        <v>36</v>
      </c>
      <c r="D9" s="256" t="s">
        <v>274</v>
      </c>
      <c r="E9" s="460" t="s">
        <v>38</v>
      </c>
      <c r="F9" s="461" t="s">
        <v>275</v>
      </c>
      <c r="G9" s="256" t="s">
        <v>40</v>
      </c>
    </row>
    <row r="10" spans="1:7" ht="15">
      <c r="A10" s="467">
        <v>6</v>
      </c>
      <c r="B10" s="468"/>
      <c r="C10" s="467"/>
      <c r="D10" s="469">
        <f>D11+D26+D30+D33+D40+D46</f>
        <v>8994164.53</v>
      </c>
      <c r="E10" s="469">
        <f>E11+E26+E30+E33+E40+E46</f>
        <v>8179592.8100000005</v>
      </c>
      <c r="F10" s="469">
        <f>'[1]Prihodi po ek klas i izvorima'!G8</f>
        <v>9446273.44</v>
      </c>
      <c r="G10" s="469">
        <f>'[1]Prihodi po ek klas i izvorima'!H8</f>
        <v>9491928.629999999</v>
      </c>
    </row>
    <row r="11" spans="1:11" ht="15">
      <c r="A11" s="471"/>
      <c r="B11" s="472">
        <v>63</v>
      </c>
      <c r="C11" s="473" t="s">
        <v>70</v>
      </c>
      <c r="D11" s="474">
        <f>D12+D14+D17+D19+D21+D24</f>
        <v>224786.42</v>
      </c>
      <c r="E11" s="474">
        <f>E12+E14+E17+E19+E21+E24</f>
        <v>23359.219999999998</v>
      </c>
      <c r="F11" s="474">
        <f>SUM(F12,F14,F17,F19,F21,F24)</f>
        <v>200000</v>
      </c>
      <c r="G11" s="474">
        <f>SUM(G12,G14,G17,G19,G21,G24)</f>
        <v>211897.14</v>
      </c>
      <c r="I11" s="521" t="s">
        <v>276</v>
      </c>
      <c r="K11" s="544"/>
    </row>
    <row r="12" spans="1:7" ht="25.5" hidden="1">
      <c r="A12" s="471"/>
      <c r="B12" s="476">
        <v>632</v>
      </c>
      <c r="C12" s="477" t="s">
        <v>277</v>
      </c>
      <c r="D12" s="478">
        <f>SUM(D13)</f>
        <v>0</v>
      </c>
      <c r="E12" s="478">
        <f>SUM(E13)</f>
        <v>0</v>
      </c>
      <c r="F12" s="478">
        <f>SUM(F13)</f>
        <v>0</v>
      </c>
      <c r="G12" s="478">
        <f>SUM(G13)</f>
        <v>0</v>
      </c>
    </row>
    <row r="13" spans="1:7" ht="15" hidden="1">
      <c r="A13" s="471"/>
      <c r="B13" s="480">
        <v>6324</v>
      </c>
      <c r="C13" s="481" t="s">
        <v>278</v>
      </c>
      <c r="D13" s="525">
        <v>0</v>
      </c>
      <c r="E13" s="525">
        <v>0</v>
      </c>
      <c r="F13" s="483">
        <v>0</v>
      </c>
      <c r="G13" s="483">
        <v>0</v>
      </c>
    </row>
    <row r="14" spans="1:18" ht="15.75">
      <c r="A14" s="471"/>
      <c r="B14" s="476">
        <v>633</v>
      </c>
      <c r="C14" s="484" t="s">
        <v>279</v>
      </c>
      <c r="D14" s="478">
        <f>SUM(D15:D16)</f>
        <v>0</v>
      </c>
      <c r="E14" s="478">
        <f>SUM(E15:E16)</f>
        <v>2654.46</v>
      </c>
      <c r="F14" s="478">
        <f>SUM(F15:F16)</f>
        <v>0</v>
      </c>
      <c r="G14" s="478">
        <f>SUM(G15:G16)</f>
        <v>0</v>
      </c>
      <c r="I14" s="545" t="s">
        <v>280</v>
      </c>
      <c r="J14" s="546"/>
      <c r="K14" s="546"/>
      <c r="L14" s="546"/>
      <c r="M14" s="546"/>
      <c r="N14" s="546"/>
      <c r="O14" s="546"/>
      <c r="P14" s="546"/>
      <c r="Q14" s="546"/>
      <c r="R14" s="546"/>
    </row>
    <row r="15" spans="1:9" ht="15">
      <c r="A15" s="471"/>
      <c r="B15" s="485">
        <v>6331</v>
      </c>
      <c r="C15" s="526" t="s">
        <v>281</v>
      </c>
      <c r="D15" s="525">
        <f>+'[1]Prihodi po ek klas i izvorima'!E11</f>
        <v>0</v>
      </c>
      <c r="E15" s="525">
        <f>'[1]Prihodi po ek klas i izvorima'!F70</f>
        <v>2654.46</v>
      </c>
      <c r="F15" s="525">
        <f>+'[1]Prihodi po ek klas i izvorima'!G11</f>
        <v>0</v>
      </c>
      <c r="G15" s="525">
        <f>+'[1]Prihodi po ek klas i izvorima'!H11</f>
        <v>0</v>
      </c>
      <c r="I15" s="521" t="s">
        <v>282</v>
      </c>
    </row>
    <row r="16" spans="1:7" ht="15">
      <c r="A16" s="471"/>
      <c r="B16" s="485">
        <v>6332</v>
      </c>
      <c r="C16" s="526" t="s">
        <v>283</v>
      </c>
      <c r="D16" s="525">
        <f>+'[1]Prihodi po ek klas i izvorima'!E12</f>
        <v>0</v>
      </c>
      <c r="E16" s="525">
        <f>+'[1]Prihodi po ek klas i izvorima'!F12</f>
        <v>0</v>
      </c>
      <c r="F16" s="525">
        <f>+'[1]Prihodi po ek klas i izvorima'!G12</f>
        <v>0</v>
      </c>
      <c r="G16" s="525">
        <f>+'[1]Prihodi po ek klas i izvorima'!H12</f>
        <v>0</v>
      </c>
    </row>
    <row r="17" spans="1:7" s="519" customFormat="1" ht="15">
      <c r="A17" s="471"/>
      <c r="B17" s="471">
        <v>634</v>
      </c>
      <c r="C17" s="527" t="s">
        <v>53</v>
      </c>
      <c r="D17" s="528">
        <f>SUM(D18)</f>
        <v>117197.24</v>
      </c>
      <c r="E17" s="528">
        <f>SUM(E18)</f>
        <v>19908.42</v>
      </c>
      <c r="F17" s="528">
        <f>SUM(F18)</f>
        <v>125000</v>
      </c>
      <c r="G17" s="528">
        <f>SUM(G18)</f>
        <v>37755.49</v>
      </c>
    </row>
    <row r="18" spans="1:7" ht="15">
      <c r="A18" s="471"/>
      <c r="B18" s="485">
        <v>6341</v>
      </c>
      <c r="C18" s="529" t="s">
        <v>55</v>
      </c>
      <c r="D18" s="525">
        <f>+'[1]Prihodi po ek klas i izvorima'!E14</f>
        <v>117197.24</v>
      </c>
      <c r="E18" s="525">
        <f>+'[1]Prihodi po ek klas i izvorima'!F14</f>
        <v>19908.42</v>
      </c>
      <c r="F18" s="525">
        <f>+'[1]Prihodi po ek klas i izvorima'!G14</f>
        <v>125000</v>
      </c>
      <c r="G18" s="525">
        <f>+'[1]Prihodi po ek klas i izvorima'!H14</f>
        <v>37755.49</v>
      </c>
    </row>
    <row r="19" spans="1:7" ht="25.5">
      <c r="A19" s="471"/>
      <c r="B19" s="471">
        <v>636</v>
      </c>
      <c r="C19" s="489" t="s">
        <v>284</v>
      </c>
      <c r="D19" s="528">
        <f>SUM(D20)</f>
        <v>68234.89</v>
      </c>
      <c r="E19" s="528">
        <f>SUM(E20)</f>
        <v>796.34</v>
      </c>
      <c r="F19" s="528">
        <f>SUM(F20)</f>
        <v>0</v>
      </c>
      <c r="G19" s="528">
        <f>SUM(G20)</f>
        <v>101327.67</v>
      </c>
    </row>
    <row r="20" spans="1:7" ht="25.5">
      <c r="A20" s="471"/>
      <c r="B20" s="485">
        <v>6361</v>
      </c>
      <c r="C20" s="530" t="s">
        <v>285</v>
      </c>
      <c r="D20" s="525">
        <f>+'[1]Prihodi po ek klas i izvorima'!E16</f>
        <v>68234.89</v>
      </c>
      <c r="E20" s="525">
        <f>+'[1]Prihodi po ek klas i izvorima'!F16</f>
        <v>796.34</v>
      </c>
      <c r="F20" s="525">
        <f>+'[1]Prihodi po ek klas i izvorima'!G16</f>
        <v>0</v>
      </c>
      <c r="G20" s="525">
        <f>+'[1]Prihodi po ek klas i izvorima'!H16</f>
        <v>101327.67</v>
      </c>
    </row>
    <row r="21" spans="1:7" s="519" customFormat="1" ht="15">
      <c r="A21" s="471"/>
      <c r="B21" s="471">
        <v>638</v>
      </c>
      <c r="C21" s="489" t="s">
        <v>286</v>
      </c>
      <c r="D21" s="528">
        <f>D22+D23</f>
        <v>39354.29</v>
      </c>
      <c r="E21" s="528">
        <f>E22+E23</f>
        <v>0</v>
      </c>
      <c r="F21" s="528">
        <f>F22+F23</f>
        <v>75000</v>
      </c>
      <c r="G21" s="528">
        <f>G22+G23</f>
        <v>72813.98</v>
      </c>
    </row>
    <row r="22" spans="1:7" ht="15">
      <c r="A22" s="485"/>
      <c r="B22" s="485">
        <v>6381</v>
      </c>
      <c r="C22" s="530" t="s">
        <v>63</v>
      </c>
      <c r="D22" s="525">
        <f>+'[1]Prihodi po ek klas i izvorima'!E18</f>
        <v>37127.49</v>
      </c>
      <c r="E22" s="525">
        <f>+'[1]Prihodi po ek klas i izvorima'!F18</f>
        <v>0</v>
      </c>
      <c r="F22" s="525">
        <f>+'[1]Prihodi po ek klas i izvorima'!G18</f>
        <v>75000</v>
      </c>
      <c r="G22" s="525">
        <f>+'[1]Prihodi po ek klas i izvorima'!H18</f>
        <v>72813.98</v>
      </c>
    </row>
    <row r="23" spans="1:7" s="519" customFormat="1" ht="15">
      <c r="A23" s="471"/>
      <c r="B23" s="485">
        <v>6382</v>
      </c>
      <c r="C23" s="530" t="s">
        <v>287</v>
      </c>
      <c r="D23" s="525">
        <f>+'[1]Prihodi po ek klas i izvorima'!E19</f>
        <v>2226.8</v>
      </c>
      <c r="E23" s="525">
        <f>+'[1]Prihodi po ek klas i izvorima'!F19</f>
        <v>0</v>
      </c>
      <c r="F23" s="525">
        <f>+'[1]Prihodi po ek klas i izvorima'!G19</f>
        <v>0</v>
      </c>
      <c r="G23" s="525">
        <f>+'[1]Prihodi po ek klas i izvorima'!H19</f>
        <v>0</v>
      </c>
    </row>
    <row r="24" spans="1:7" ht="15">
      <c r="A24" s="471"/>
      <c r="B24" s="471">
        <v>639</v>
      </c>
      <c r="C24" s="489" t="s">
        <v>288</v>
      </c>
      <c r="D24" s="528">
        <f>SUM(D25)</f>
        <v>0</v>
      </c>
      <c r="E24" s="528">
        <f>SUM(E25)</f>
        <v>0</v>
      </c>
      <c r="F24" s="528">
        <f>SUM(F25)</f>
        <v>0</v>
      </c>
      <c r="G24" s="528">
        <f>SUM(G25)</f>
        <v>0</v>
      </c>
    </row>
    <row r="25" spans="1:7" s="519" customFormat="1" ht="15">
      <c r="A25" s="471"/>
      <c r="B25" s="485">
        <v>6391</v>
      </c>
      <c r="C25" s="530" t="s">
        <v>289</v>
      </c>
      <c r="D25" s="525">
        <f>+'[1]Prihodi po ek klas i izvorima'!E21</f>
        <v>0</v>
      </c>
      <c r="E25" s="525">
        <f>+'[1]Prihodi po ek klas i izvorima'!F21</f>
        <v>0</v>
      </c>
      <c r="F25" s="525">
        <f>+'[1]Prihodi po ek klas i izvorima'!G21</f>
        <v>0</v>
      </c>
      <c r="G25" s="525">
        <f>+'[1]Prihodi po ek klas i izvorima'!H21</f>
        <v>0</v>
      </c>
    </row>
    <row r="26" spans="1:7" ht="15">
      <c r="A26" s="471"/>
      <c r="B26" s="492">
        <v>64</v>
      </c>
      <c r="C26" s="531" t="s">
        <v>71</v>
      </c>
      <c r="D26" s="532">
        <f>SUM(D27:D29)</f>
        <v>279.69</v>
      </c>
      <c r="E26" s="532">
        <f>SUM(E27:E29)</f>
        <v>663.61</v>
      </c>
      <c r="F26" s="532">
        <f>SUM(F27:F29)</f>
        <v>700</v>
      </c>
      <c r="G26" s="532">
        <f>SUM(G27:G29)</f>
        <v>613.96</v>
      </c>
    </row>
    <row r="27" spans="1:7" ht="15">
      <c r="A27" s="471"/>
      <c r="B27" s="485">
        <v>6413</v>
      </c>
      <c r="C27" s="526" t="s">
        <v>290</v>
      </c>
      <c r="D27" s="525">
        <f>+'[1]Prihodi po ek klas i izvorima'!E38</f>
        <v>5.56</v>
      </c>
      <c r="E27" s="525">
        <f>+'[1]Prihodi po ek klas i izvorima'!F38</f>
        <v>398.17</v>
      </c>
      <c r="F27" s="525">
        <f>+'[1]Prihodi po ek klas i izvorima'!G38</f>
        <v>300</v>
      </c>
      <c r="G27" s="525">
        <f>+'[1]Prihodi po ek klas i izvorima'!H38</f>
        <v>339.76</v>
      </c>
    </row>
    <row r="28" spans="1:7" ht="15">
      <c r="A28" s="471"/>
      <c r="B28" s="485">
        <v>6419</v>
      </c>
      <c r="C28" s="526" t="s">
        <v>291</v>
      </c>
      <c r="D28" s="525">
        <f>+'[1]Prihodi po ek klas i izvorima'!E25+'[1]Prihodi po ek klas i izvorima'!E39</f>
        <v>274.13</v>
      </c>
      <c r="E28" s="525">
        <f>+'[1]Prihodi po ek klas i izvorima'!F25+'[1]Prihodi po ek klas i izvorima'!F39</f>
        <v>265.44</v>
      </c>
      <c r="F28" s="525">
        <f>+'[1]Prihodi po ek klas i izvorima'!G25+'[1]Prihodi po ek klas i izvorima'!G39</f>
        <v>400</v>
      </c>
      <c r="G28" s="525">
        <f>+'[1]Prihodi po ek klas i izvorima'!H25+'[1]Prihodi po ek klas i izvorima'!H39</f>
        <v>0</v>
      </c>
    </row>
    <row r="29" spans="1:7" ht="15">
      <c r="A29" s="471"/>
      <c r="B29" s="485">
        <v>6429</v>
      </c>
      <c r="C29" s="526" t="s">
        <v>88</v>
      </c>
      <c r="D29" s="525">
        <f>+'[1]Prihodi po ek klas i izvorima'!E40</f>
        <v>0</v>
      </c>
      <c r="E29" s="525">
        <f>+'[1]Prihodi po ek klas i izvorima'!F40</f>
        <v>0</v>
      </c>
      <c r="F29" s="525">
        <f>+'[1]Prihodi po ek klas i izvorima'!G40</f>
        <v>0</v>
      </c>
      <c r="G29" s="525">
        <f>+'[1]Prihodi po ek klas i izvorima'!H40</f>
        <v>274.2</v>
      </c>
    </row>
    <row r="30" spans="1:7" ht="15">
      <c r="A30" s="471"/>
      <c r="B30" s="492">
        <v>65</v>
      </c>
      <c r="C30" s="531" t="s">
        <v>75</v>
      </c>
      <c r="D30" s="532">
        <f>D31</f>
        <v>297036.32999999996</v>
      </c>
      <c r="E30" s="532">
        <f>E31</f>
        <v>364987.72</v>
      </c>
      <c r="F30" s="532">
        <f>SUM(F31)</f>
        <v>350000</v>
      </c>
      <c r="G30" s="532">
        <f>SUM(G31)</f>
        <v>331563.74000000005</v>
      </c>
    </row>
    <row r="31" spans="1:7" ht="15">
      <c r="A31" s="471"/>
      <c r="B31" s="471">
        <v>652</v>
      </c>
      <c r="C31" s="527" t="s">
        <v>75</v>
      </c>
      <c r="D31" s="528">
        <f>SUM(D32)</f>
        <v>297036.32999999996</v>
      </c>
      <c r="E31" s="528">
        <f>SUM(E32)</f>
        <v>364987.72</v>
      </c>
      <c r="F31" s="528">
        <f>SUM(F32)</f>
        <v>350000</v>
      </c>
      <c r="G31" s="528">
        <f>SUM(G32)</f>
        <v>331563.74000000005</v>
      </c>
    </row>
    <row r="32" spans="1:7" ht="15">
      <c r="A32" s="471"/>
      <c r="B32" s="485">
        <v>6526</v>
      </c>
      <c r="C32" s="526" t="s">
        <v>292</v>
      </c>
      <c r="D32" s="525">
        <f>+'[1]Prihodi po ek klas i izvorima'!E28+'[1]Prihodi po ek klas i izvorima'!E59</f>
        <v>297036.32999999996</v>
      </c>
      <c r="E32" s="525">
        <f>+'[1]Prihodi po ek klas i izvorima'!F28+'[1]Prihodi po ek klas i izvorima'!F59</f>
        <v>364987.72</v>
      </c>
      <c r="F32" s="525">
        <f>+'[1]Prihodi po ek klas i izvorima'!G28+'[1]Prihodi po ek klas i izvorima'!G59</f>
        <v>350000</v>
      </c>
      <c r="G32" s="525">
        <f>'[1]Prihodi po ek klas i izvorima'!H28+'[1]Prihodi po ek klas i izvorima'!H43+'[1]Prihodi po ek klas i izvorima'!H59</f>
        <v>331563.74000000005</v>
      </c>
    </row>
    <row r="33" spans="1:7" ht="15">
      <c r="A33" s="471"/>
      <c r="B33" s="492">
        <v>66</v>
      </c>
      <c r="C33" s="531" t="s">
        <v>293</v>
      </c>
      <c r="D33" s="532">
        <f>D34+D37</f>
        <v>1471654.72</v>
      </c>
      <c r="E33" s="532">
        <f>E34+E37</f>
        <v>1041874.05</v>
      </c>
      <c r="F33" s="532">
        <f>SUM(F34,F37)</f>
        <v>1561310</v>
      </c>
      <c r="G33" s="532">
        <f>SUM(G34,G37)</f>
        <v>1583862.37</v>
      </c>
    </row>
    <row r="34" spans="1:7" s="520" customFormat="1" ht="25.5">
      <c r="A34" s="471"/>
      <c r="B34" s="471">
        <v>661</v>
      </c>
      <c r="C34" s="489" t="s">
        <v>294</v>
      </c>
      <c r="D34" s="528">
        <f>SUM(D35:D36)</f>
        <v>1471654.72</v>
      </c>
      <c r="E34" s="528">
        <f>SUM(E35:E36)</f>
        <v>1041874.05</v>
      </c>
      <c r="F34" s="528">
        <f>SUM(F36,F35)</f>
        <v>1560000</v>
      </c>
      <c r="G34" s="528">
        <f>SUM(G36,G35)</f>
        <v>1577552.37</v>
      </c>
    </row>
    <row r="35" spans="1:7" ht="15">
      <c r="A35" s="485"/>
      <c r="B35" s="485">
        <v>6614</v>
      </c>
      <c r="C35" s="530" t="s">
        <v>295</v>
      </c>
      <c r="D35" s="525">
        <f>+'[1]Prihodi po ek klas i izvorima'!E46</f>
        <v>1121722.52</v>
      </c>
      <c r="E35" s="525">
        <f>+'[1]Prihodi po ek klas i izvorima'!F46</f>
        <v>796336.85</v>
      </c>
      <c r="F35" s="525">
        <f>+'[1]Prihodi po ek klas i izvorima'!G46</f>
        <v>1180000</v>
      </c>
      <c r="G35" s="525">
        <f>+'[1]Prihodi po ek klas i izvorima'!H46</f>
        <v>1215923.61</v>
      </c>
    </row>
    <row r="36" spans="1:7" ht="15">
      <c r="A36" s="471"/>
      <c r="B36" s="485">
        <v>6615</v>
      </c>
      <c r="C36" s="526" t="s">
        <v>95</v>
      </c>
      <c r="D36" s="525">
        <f>+'[1]Prihodi po ek klas i izvorima'!E47</f>
        <v>349932.2</v>
      </c>
      <c r="E36" s="525">
        <f>+'[1]Prihodi po ek klas i izvorima'!F47</f>
        <v>245537.2</v>
      </c>
      <c r="F36" s="525">
        <f>+'[1]Prihodi po ek klas i izvorima'!G47</f>
        <v>380000</v>
      </c>
      <c r="G36" s="525">
        <f>+'[1]Prihodi po ek klas i izvorima'!H47</f>
        <v>361628.76</v>
      </c>
    </row>
    <row r="37" spans="1:7" ht="15">
      <c r="A37" s="471"/>
      <c r="B37" s="471">
        <v>663</v>
      </c>
      <c r="C37" s="527" t="s">
        <v>296</v>
      </c>
      <c r="D37" s="528">
        <f>SUM(D38:D39)</f>
        <v>0</v>
      </c>
      <c r="E37" s="528">
        <f>SUM(E38:E39)</f>
        <v>0</v>
      </c>
      <c r="F37" s="528">
        <f>SUM(F38:F39)</f>
        <v>1310</v>
      </c>
      <c r="G37" s="528">
        <f>SUM(G38:G39)</f>
        <v>6310</v>
      </c>
    </row>
    <row r="38" spans="1:7" ht="15">
      <c r="A38" s="471"/>
      <c r="B38" s="485">
        <v>6631</v>
      </c>
      <c r="C38" s="526" t="s">
        <v>99</v>
      </c>
      <c r="D38" s="525">
        <f>+'[1]Prihodi po ek klas i izvorima'!E54</f>
        <v>0</v>
      </c>
      <c r="E38" s="525">
        <f>+'[1]Prihodi po ek klas i izvorima'!F54</f>
        <v>0</v>
      </c>
      <c r="F38" s="525">
        <f>+'[1]Prihodi po ek klas i izvorima'!G54</f>
        <v>1310</v>
      </c>
      <c r="G38" s="525">
        <f>+'[1]Prihodi po ek klas i izvorima'!H54</f>
        <v>1310</v>
      </c>
    </row>
    <row r="39" spans="1:7" ht="15">
      <c r="A39" s="471"/>
      <c r="B39" s="485">
        <v>6632</v>
      </c>
      <c r="C39" s="526" t="s">
        <v>101</v>
      </c>
      <c r="D39" s="525">
        <f>+'[1]Prihodi po ek klas i izvorima'!E55</f>
        <v>0</v>
      </c>
      <c r="E39" s="525">
        <f>+'[1]Prihodi po ek klas i izvorima'!F55</f>
        <v>0</v>
      </c>
      <c r="F39" s="525">
        <f>+'[1]Prihodi po ek klas i izvorima'!G55</f>
        <v>0</v>
      </c>
      <c r="G39" s="525">
        <f>+'[1]Prihodi po ek klas i izvorima'!H55</f>
        <v>5000</v>
      </c>
    </row>
    <row r="40" spans="1:7" ht="15">
      <c r="A40" s="471"/>
      <c r="B40" s="492">
        <v>67</v>
      </c>
      <c r="C40" s="531" t="s">
        <v>297</v>
      </c>
      <c r="D40" s="532">
        <f>D41+D44</f>
        <v>6894578.42</v>
      </c>
      <c r="E40" s="532">
        <f>E41+E44</f>
        <v>6617312.630000001</v>
      </c>
      <c r="F40" s="532">
        <f>F41+F44</f>
        <v>7214263.4399999995</v>
      </c>
      <c r="G40" s="532">
        <f>G41+G44</f>
        <v>7246017.76</v>
      </c>
    </row>
    <row r="41" spans="1:7" ht="25.5">
      <c r="A41" s="471"/>
      <c r="B41" s="533">
        <v>671</v>
      </c>
      <c r="C41" s="534" t="s">
        <v>112</v>
      </c>
      <c r="D41" s="535">
        <f>'[1]Prihodi po ek klas i izvorima'!E72</f>
        <v>445702.03</v>
      </c>
      <c r="E41" s="535">
        <f>E42+E43</f>
        <v>512063.44</v>
      </c>
      <c r="F41" s="535">
        <f>F42+F43</f>
        <v>514263.43999999994</v>
      </c>
      <c r="G41" s="535">
        <f>G42+G43</f>
        <v>514263.43999999994</v>
      </c>
    </row>
    <row r="42" spans="1:7" ht="25.5">
      <c r="A42" s="471"/>
      <c r="B42" s="536">
        <v>6711</v>
      </c>
      <c r="C42" s="537" t="s">
        <v>298</v>
      </c>
      <c r="D42" s="538">
        <f>'[1]Prihodi po ek klas i izvorima'!E73</f>
        <v>133282.63</v>
      </c>
      <c r="E42" s="538">
        <f>'[1]Prihodi po ek klas i izvorima'!F73</f>
        <v>372063.44</v>
      </c>
      <c r="F42" s="538">
        <f>'[1]Prihodi po ek klas i izvorima'!G73</f>
        <v>129904.53</v>
      </c>
      <c r="G42" s="538">
        <f>'[1]Prihodi po ek klas i izvorima'!H73</f>
        <v>132104.53</v>
      </c>
    </row>
    <row r="43" spans="1:7" ht="25.5">
      <c r="A43" s="471"/>
      <c r="B43" s="536">
        <v>6712</v>
      </c>
      <c r="C43" s="537" t="s">
        <v>299</v>
      </c>
      <c r="D43" s="538">
        <f>'[1]Prihodi po ek klas i izvorima'!E74</f>
        <v>312419.4</v>
      </c>
      <c r="E43" s="538">
        <f>'[1]Prihodi po ek klas i izvorima'!F74</f>
        <v>140000</v>
      </c>
      <c r="F43" s="538">
        <f>'[1]Prihodi po ek klas i izvorima'!G74</f>
        <v>384358.91</v>
      </c>
      <c r="G43" s="538">
        <f>'[1]Prihodi po ek klas i izvorima'!H74</f>
        <v>382158.91</v>
      </c>
    </row>
    <row r="44" spans="1:7" ht="15">
      <c r="A44" s="471"/>
      <c r="B44" s="471">
        <v>673</v>
      </c>
      <c r="C44" s="527" t="s">
        <v>300</v>
      </c>
      <c r="D44" s="528">
        <f>SUM(D45)</f>
        <v>6448876.39</v>
      </c>
      <c r="E44" s="528">
        <f>SUM(E45)</f>
        <v>6105249.19</v>
      </c>
      <c r="F44" s="528">
        <f>SUM(F45)</f>
        <v>6700000</v>
      </c>
      <c r="G44" s="528">
        <f>SUM(G45)</f>
        <v>6731754.32</v>
      </c>
    </row>
    <row r="45" spans="1:7" ht="15">
      <c r="A45" s="471"/>
      <c r="B45" s="485">
        <v>6731</v>
      </c>
      <c r="C45" s="526" t="s">
        <v>79</v>
      </c>
      <c r="D45" s="525">
        <f>+'[1]Prihodi po ek klas i izvorima'!E31</f>
        <v>6448876.39</v>
      </c>
      <c r="E45" s="525">
        <f>+'[1]Prihodi po ek klas i izvorima'!F31</f>
        <v>6105249.19</v>
      </c>
      <c r="F45" s="525">
        <f>+'[1]Prihodi po ek klas i izvorima'!G31</f>
        <v>6700000</v>
      </c>
      <c r="G45" s="525">
        <f>+'[1]Prihodi po ek klas i izvorima'!H31</f>
        <v>6731754.32</v>
      </c>
    </row>
    <row r="46" spans="1:7" s="520" customFormat="1" ht="15">
      <c r="A46" s="471"/>
      <c r="B46" s="492">
        <v>68</v>
      </c>
      <c r="C46" s="539" t="s">
        <v>82</v>
      </c>
      <c r="D46" s="532">
        <f aca="true" t="shared" si="0" ref="D46:G47">SUM(D47)</f>
        <v>105828.95</v>
      </c>
      <c r="E46" s="532">
        <f t="shared" si="0"/>
        <v>131395.58</v>
      </c>
      <c r="F46" s="532">
        <f t="shared" si="0"/>
        <v>120000</v>
      </c>
      <c r="G46" s="532">
        <f t="shared" si="0"/>
        <v>117973.66</v>
      </c>
    </row>
    <row r="47" spans="1:7" ht="15">
      <c r="A47" s="471"/>
      <c r="B47" s="471">
        <v>683</v>
      </c>
      <c r="C47" s="527" t="s">
        <v>84</v>
      </c>
      <c r="D47" s="528">
        <f t="shared" si="0"/>
        <v>105828.95</v>
      </c>
      <c r="E47" s="528">
        <f t="shared" si="0"/>
        <v>131395.58</v>
      </c>
      <c r="F47" s="528">
        <f t="shared" si="0"/>
        <v>120000</v>
      </c>
      <c r="G47" s="528">
        <f t="shared" si="0"/>
        <v>117973.66</v>
      </c>
    </row>
    <row r="48" spans="1:7" ht="15">
      <c r="A48" s="471"/>
      <c r="B48" s="485">
        <v>6831</v>
      </c>
      <c r="C48" s="526" t="s">
        <v>84</v>
      </c>
      <c r="D48" s="525">
        <f>+'[1]Prihodi po ek klas i izvorima'!E34+'[1]Prihodi po ek klas i izvorima'!E50</f>
        <v>105828.95</v>
      </c>
      <c r="E48" s="525">
        <f>+'[1]Prihodi po ek klas i izvorima'!F34+'[1]Prihodi po ek klas i izvorima'!F50</f>
        <v>131395.58</v>
      </c>
      <c r="F48" s="525">
        <f>+'[1]Prihodi po ek klas i izvorima'!G34+'[1]Prihodi po ek klas i izvorima'!G50</f>
        <v>120000</v>
      </c>
      <c r="G48" s="525">
        <f>+'[1]Prihodi po ek klas i izvorima'!H34+'[1]Prihodi po ek klas i izvorima'!H50</f>
        <v>117973.66</v>
      </c>
    </row>
    <row r="49" spans="1:7" s="520" customFormat="1" ht="15">
      <c r="A49" s="467">
        <v>7</v>
      </c>
      <c r="B49" s="467"/>
      <c r="C49" s="540" t="s">
        <v>105</v>
      </c>
      <c r="D49" s="541">
        <f>D50</f>
        <v>0</v>
      </c>
      <c r="E49" s="541">
        <f>SUM(E50)</f>
        <v>0</v>
      </c>
      <c r="F49" s="541">
        <f>SUM(F50)</f>
        <v>1000</v>
      </c>
      <c r="G49" s="541">
        <f>SUM(G50)</f>
        <v>3892.2</v>
      </c>
    </row>
    <row r="50" spans="1:7" s="519" customFormat="1" ht="19.5" customHeight="1">
      <c r="A50" s="471"/>
      <c r="B50" s="492">
        <v>72</v>
      </c>
      <c r="C50" s="542" t="s">
        <v>106</v>
      </c>
      <c r="D50" s="532">
        <f>SUM(D51,D53)</f>
        <v>0</v>
      </c>
      <c r="E50" s="532">
        <f>SUM(E51,E53)</f>
        <v>0</v>
      </c>
      <c r="F50" s="532">
        <f>SUM(F51,F53)</f>
        <v>1000</v>
      </c>
      <c r="G50" s="532">
        <f>SUM(G51,G53)</f>
        <v>3892.2</v>
      </c>
    </row>
    <row r="51" spans="1:7" ht="15">
      <c r="A51" s="471"/>
      <c r="B51" s="471">
        <v>721</v>
      </c>
      <c r="C51" s="527" t="s">
        <v>107</v>
      </c>
      <c r="D51" s="528">
        <f>D52</f>
        <v>0</v>
      </c>
      <c r="E51" s="528">
        <f>E52</f>
        <v>0</v>
      </c>
      <c r="F51" s="528">
        <f>F52</f>
        <v>0</v>
      </c>
      <c r="G51" s="528">
        <f>G52</f>
        <v>0</v>
      </c>
    </row>
    <row r="52" spans="1:7" ht="15">
      <c r="A52" s="471"/>
      <c r="B52" s="485">
        <v>7211</v>
      </c>
      <c r="C52" s="526" t="s">
        <v>108</v>
      </c>
      <c r="D52" s="525">
        <f>+'[1]Prihodi po ek klas i izvorima'!E64</f>
        <v>0</v>
      </c>
      <c r="E52" s="525">
        <f>+'[1]Prihodi po ek klas i izvorima'!F64</f>
        <v>0</v>
      </c>
      <c r="F52" s="525">
        <f>+'[1]Prihodi po ek klas i izvorima'!G64</f>
        <v>0</v>
      </c>
      <c r="G52" s="525">
        <f>+'[1]Prihodi po ek klas i izvorima'!H64</f>
        <v>0</v>
      </c>
    </row>
    <row r="53" spans="1:7" s="521" customFormat="1" ht="15">
      <c r="A53" s="471"/>
      <c r="B53" s="471">
        <v>723</v>
      </c>
      <c r="C53" s="527" t="s">
        <v>109</v>
      </c>
      <c r="D53" s="528">
        <f>D54</f>
        <v>0</v>
      </c>
      <c r="E53" s="528">
        <f>E54</f>
        <v>0</v>
      </c>
      <c r="F53" s="528">
        <f>F54</f>
        <v>1000</v>
      </c>
      <c r="G53" s="528">
        <f>G54</f>
        <v>3892.2</v>
      </c>
    </row>
    <row r="54" spans="1:7" ht="15">
      <c r="A54" s="471"/>
      <c r="B54" s="485">
        <v>7231</v>
      </c>
      <c r="C54" s="526" t="s">
        <v>110</v>
      </c>
      <c r="D54" s="525"/>
      <c r="E54" s="525"/>
      <c r="F54" s="525">
        <f>'[1]Prihodi po ek klas i izvorima'!G66</f>
        <v>1000</v>
      </c>
      <c r="G54" s="525">
        <f>'[1]Prihodi po ek klas i izvorima'!H66</f>
        <v>3892.2</v>
      </c>
    </row>
    <row r="55" spans="1:7" ht="18.75">
      <c r="A55" s="729" t="s">
        <v>301</v>
      </c>
      <c r="B55" s="730"/>
      <c r="C55" s="731"/>
      <c r="D55" s="543">
        <f>D10</f>
        <v>8994164.53</v>
      </c>
      <c r="E55" s="543">
        <f>E10</f>
        <v>8179592.8100000005</v>
      </c>
      <c r="F55" s="543">
        <f>F10+F49</f>
        <v>9447273.44</v>
      </c>
      <c r="G55" s="543">
        <f>'[1]Prihodi po ek klas i izvorima'!H76</f>
        <v>9495820.829999998</v>
      </c>
    </row>
  </sheetData>
  <sheetProtection/>
  <mergeCells count="6">
    <mergeCell ref="A2:G2"/>
    <mergeCell ref="A4:G4"/>
    <mergeCell ref="A6:G6"/>
    <mergeCell ref="B7:G7"/>
    <mergeCell ref="A8:G8"/>
    <mergeCell ref="A55:C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zoomScaleSheetLayoutView="100" workbookViewId="0" topLeftCell="A1">
      <selection activeCell="M69" sqref="M69"/>
    </sheetView>
  </sheetViews>
  <sheetFormatPr defaultColWidth="9.140625" defaultRowHeight="15"/>
  <cols>
    <col min="1" max="1" width="9.140625" style="450" customWidth="1"/>
    <col min="2" max="2" width="9.140625" style="451" customWidth="1"/>
    <col min="3" max="3" width="50.8515625" style="451" customWidth="1"/>
    <col min="4" max="4" width="22.7109375" style="451" customWidth="1"/>
    <col min="5" max="5" width="22.7109375" style="452" customWidth="1"/>
    <col min="6" max="7" width="21.421875" style="451" customWidth="1"/>
    <col min="8" max="8" width="8.421875" style="453" customWidth="1"/>
    <col min="9" max="9" width="3.28125" style="445" hidden="1" customWidth="1"/>
    <col min="10" max="16384" width="9.140625" style="445" customWidth="1"/>
  </cols>
  <sheetData>
    <row r="1" spans="1:8" ht="15.75" customHeight="1">
      <c r="A1" s="740" t="s">
        <v>1</v>
      </c>
      <c r="B1" s="740"/>
      <c r="C1" s="740"/>
      <c r="D1" s="740"/>
      <c r="E1" s="740"/>
      <c r="F1" s="740"/>
      <c r="G1" s="740"/>
      <c r="H1" s="740"/>
    </row>
    <row r="2" spans="1:8" ht="15.75" customHeight="1">
      <c r="A2" s="739" t="s">
        <v>302</v>
      </c>
      <c r="B2" s="739"/>
      <c r="C2" s="739"/>
      <c r="D2" s="739"/>
      <c r="E2" s="739"/>
      <c r="F2" s="739"/>
      <c r="G2" s="739"/>
      <c r="H2" s="739"/>
    </row>
    <row r="3" spans="1:8" ht="15.75" customHeight="1">
      <c r="A3" s="739"/>
      <c r="B3" s="739"/>
      <c r="C3" s="739"/>
      <c r="D3" s="739"/>
      <c r="E3" s="739"/>
      <c r="F3" s="739"/>
      <c r="G3" s="739"/>
      <c r="H3" s="739"/>
    </row>
    <row r="4" spans="1:8" ht="36.75" customHeight="1">
      <c r="A4" s="741" t="s">
        <v>303</v>
      </c>
      <c r="B4" s="741"/>
      <c r="C4" s="741"/>
      <c r="D4" s="741"/>
      <c r="E4" s="741"/>
      <c r="F4" s="741"/>
      <c r="G4" s="741"/>
      <c r="H4" s="741"/>
    </row>
    <row r="5" spans="1:8" s="446" customFormat="1" ht="12.75">
      <c r="A5" s="450"/>
      <c r="B5" s="742"/>
      <c r="C5" s="742"/>
      <c r="D5" s="742"/>
      <c r="E5" s="742"/>
      <c r="F5" s="742"/>
      <c r="G5" s="742"/>
      <c r="H5" s="453"/>
    </row>
    <row r="6" spans="1:8" ht="12.75" hidden="1">
      <c r="A6" s="454"/>
      <c r="B6" s="455"/>
      <c r="C6" s="455"/>
      <c r="D6" s="455"/>
      <c r="E6" s="456"/>
      <c r="F6" s="455"/>
      <c r="G6" s="455"/>
      <c r="H6" s="457"/>
    </row>
    <row r="7" spans="1:8" ht="15.75" hidden="1">
      <c r="A7" s="743" t="s">
        <v>32</v>
      </c>
      <c r="B7" s="744"/>
      <c r="C7" s="744"/>
      <c r="D7" s="744"/>
      <c r="E7" s="744"/>
      <c r="F7" s="744"/>
      <c r="G7" s="744"/>
      <c r="H7" s="745"/>
    </row>
    <row r="8" spans="1:8" ht="60" hidden="1">
      <c r="A8" s="458" t="s">
        <v>33</v>
      </c>
      <c r="B8" s="458" t="s">
        <v>34</v>
      </c>
      <c r="C8" s="459" t="s">
        <v>36</v>
      </c>
      <c r="D8" s="459"/>
      <c r="E8" s="460" t="s">
        <v>118</v>
      </c>
      <c r="F8" s="461" t="s">
        <v>304</v>
      </c>
      <c r="G8" s="461" t="s">
        <v>305</v>
      </c>
      <c r="H8" s="462" t="s">
        <v>41</v>
      </c>
    </row>
    <row r="9" spans="1:8" ht="30" hidden="1">
      <c r="A9" s="746">
        <v>1</v>
      </c>
      <c r="B9" s="747"/>
      <c r="C9" s="748"/>
      <c r="D9" s="463"/>
      <c r="E9" s="464">
        <v>2</v>
      </c>
      <c r="F9" s="465">
        <v>3</v>
      </c>
      <c r="G9" s="465">
        <v>4</v>
      </c>
      <c r="H9" s="466" t="s">
        <v>43</v>
      </c>
    </row>
    <row r="10" spans="1:8" ht="12.75" hidden="1">
      <c r="A10" s="467">
        <v>6</v>
      </c>
      <c r="B10" s="468"/>
      <c r="C10" s="467"/>
      <c r="D10" s="467"/>
      <c r="E10" s="469">
        <f>E11+E26+E30+E33+E40+E43</f>
        <v>24659145.79600504</v>
      </c>
      <c r="F10" s="469">
        <f>F11+F26+F30+F33+F40+F43</f>
        <v>63888652.49</v>
      </c>
      <c r="G10" s="469">
        <f>G11+G26+G30+G33+G40+G43</f>
        <v>30834918.75</v>
      </c>
      <c r="H10" s="470">
        <f>G10/F10*100</f>
        <v>48.26352966957059</v>
      </c>
    </row>
    <row r="11" spans="1:8" ht="12.75" hidden="1">
      <c r="A11" s="471"/>
      <c r="B11" s="472">
        <v>63</v>
      </c>
      <c r="C11" s="473" t="s">
        <v>70</v>
      </c>
      <c r="D11" s="473"/>
      <c r="E11" s="474">
        <f>E12+E14+E17+E19+E21+E24</f>
        <v>324811.46725064697</v>
      </c>
      <c r="F11" s="474">
        <f>SUM(F12,F14,F17,F19,F21,F24)</f>
        <v>639378.8600000001</v>
      </c>
      <c r="G11" s="474">
        <f>SUM(G12,G14,G17,G19,G21,G24)</f>
        <v>1892796.77</v>
      </c>
      <c r="H11" s="475">
        <f>G11/F11*100</f>
        <v>296.03680828609185</v>
      </c>
    </row>
    <row r="12" spans="1:8" ht="12.75" hidden="1">
      <c r="A12" s="471"/>
      <c r="B12" s="476">
        <v>632</v>
      </c>
      <c r="C12" s="477" t="s">
        <v>277</v>
      </c>
      <c r="D12" s="477"/>
      <c r="E12" s="478">
        <f>SUM(E13)</f>
        <v>0</v>
      </c>
      <c r="F12" s="478">
        <f>SUM(F13)</f>
        <v>0</v>
      </c>
      <c r="G12" s="478">
        <f>SUM(G13)</f>
        <v>0</v>
      </c>
      <c r="H12" s="479"/>
    </row>
    <row r="13" spans="1:8" ht="12.75" hidden="1">
      <c r="A13" s="471"/>
      <c r="B13" s="480">
        <v>6324</v>
      </c>
      <c r="C13" s="481" t="s">
        <v>278</v>
      </c>
      <c r="D13" s="481"/>
      <c r="E13" s="482">
        <v>0</v>
      </c>
      <c r="F13" s="483">
        <v>0</v>
      </c>
      <c r="G13" s="483">
        <v>0</v>
      </c>
      <c r="H13" s="479"/>
    </row>
    <row r="14" spans="1:8" ht="12.75" hidden="1">
      <c r="A14" s="471"/>
      <c r="B14" s="476">
        <v>633</v>
      </c>
      <c r="C14" s="484" t="s">
        <v>279</v>
      </c>
      <c r="D14" s="484"/>
      <c r="E14" s="478">
        <f>SUM(E15:E16)</f>
        <v>50556.10856725728</v>
      </c>
      <c r="F14" s="478">
        <f>SUM(F15:F16)</f>
        <v>0</v>
      </c>
      <c r="G14" s="478">
        <f>SUM(G15:G16)</f>
        <v>0</v>
      </c>
      <c r="H14" s="479"/>
    </row>
    <row r="15" spans="1:8" ht="12.75" hidden="1">
      <c r="A15" s="471"/>
      <c r="B15" s="485">
        <v>6331</v>
      </c>
      <c r="C15" s="486" t="s">
        <v>281</v>
      </c>
      <c r="D15" s="486"/>
      <c r="E15" s="482">
        <f>380915/7.5345</f>
        <v>50556.10856725728</v>
      </c>
      <c r="F15" s="483">
        <v>0</v>
      </c>
      <c r="G15" s="483">
        <v>0</v>
      </c>
      <c r="H15" s="479"/>
    </row>
    <row r="16" spans="1:8" ht="12.75" hidden="1">
      <c r="A16" s="471"/>
      <c r="B16" s="485">
        <v>6332</v>
      </c>
      <c r="C16" s="486" t="s">
        <v>283</v>
      </c>
      <c r="D16" s="486"/>
      <c r="E16" s="482">
        <v>0</v>
      </c>
      <c r="F16" s="482">
        <v>0</v>
      </c>
      <c r="G16" s="482">
        <v>0</v>
      </c>
      <c r="H16" s="479"/>
    </row>
    <row r="17" spans="1:8" ht="12.75" hidden="1">
      <c r="A17" s="471"/>
      <c r="B17" s="471">
        <v>634</v>
      </c>
      <c r="C17" s="487" t="s">
        <v>53</v>
      </c>
      <c r="D17" s="487"/>
      <c r="E17" s="488">
        <f>SUM(E18)</f>
        <v>111981.9496980556</v>
      </c>
      <c r="F17" s="488">
        <f>SUM(F18)</f>
        <v>366500.76</v>
      </c>
      <c r="G17" s="488">
        <f>SUM(G18)</f>
        <v>1829292.75</v>
      </c>
      <c r="H17" s="479"/>
    </row>
    <row r="18" spans="1:8" ht="12.75" hidden="1">
      <c r="A18" s="471"/>
      <c r="B18" s="485">
        <v>6341</v>
      </c>
      <c r="C18" s="486" t="s">
        <v>306</v>
      </c>
      <c r="D18" s="486"/>
      <c r="E18" s="482">
        <f>843728/7.5345</f>
        <v>111981.9496980556</v>
      </c>
      <c r="F18" s="482">
        <v>366500.76</v>
      </c>
      <c r="G18" s="482">
        <v>1829292.75</v>
      </c>
      <c r="H18" s="479"/>
    </row>
    <row r="19" spans="1:8" ht="17.25" customHeight="1" hidden="1">
      <c r="A19" s="471"/>
      <c r="B19" s="471">
        <v>636</v>
      </c>
      <c r="C19" s="489" t="s">
        <v>284</v>
      </c>
      <c r="D19" s="489"/>
      <c r="E19" s="488">
        <f>SUM(E20)</f>
        <v>54857.12389674165</v>
      </c>
      <c r="F19" s="488">
        <f>SUM(F20)</f>
        <v>796.34</v>
      </c>
      <c r="G19" s="488">
        <f>SUM(G20)</f>
        <v>45490.31</v>
      </c>
      <c r="H19" s="479"/>
    </row>
    <row r="20" spans="1:8" ht="12.75" hidden="1">
      <c r="A20" s="471"/>
      <c r="B20" s="485">
        <v>6361</v>
      </c>
      <c r="C20" s="490" t="s">
        <v>285</v>
      </c>
      <c r="D20" s="490"/>
      <c r="E20" s="482">
        <f>413321/7.5345</f>
        <v>54857.12389674165</v>
      </c>
      <c r="F20" s="482">
        <f>796.34</f>
        <v>796.34</v>
      </c>
      <c r="G20" s="482">
        <v>45490.31</v>
      </c>
      <c r="H20" s="479"/>
    </row>
    <row r="21" spans="1:8" ht="12.75" hidden="1">
      <c r="A21" s="471"/>
      <c r="B21" s="471">
        <v>638</v>
      </c>
      <c r="C21" s="491" t="s">
        <v>286</v>
      </c>
      <c r="D21" s="491"/>
      <c r="E21" s="488">
        <f>SUM(E22:E23)</f>
        <v>107244.80722012077</v>
      </c>
      <c r="F21" s="488">
        <f>SUM(F23)</f>
        <v>272081.76</v>
      </c>
      <c r="G21" s="488">
        <f>SUM(G23)</f>
        <v>18013.71</v>
      </c>
      <c r="H21" s="479"/>
    </row>
    <row r="22" spans="1:8" s="446" customFormat="1" ht="12.75" hidden="1">
      <c r="A22" s="485"/>
      <c r="B22" s="485">
        <v>6381</v>
      </c>
      <c r="C22" s="490" t="s">
        <v>63</v>
      </c>
      <c r="D22" s="490"/>
      <c r="E22" s="482">
        <f>493624/7.5345</f>
        <v>65515.163580861365</v>
      </c>
      <c r="F22" s="482">
        <v>0</v>
      </c>
      <c r="G22" s="482">
        <v>0</v>
      </c>
      <c r="H22" s="479"/>
    </row>
    <row r="23" spans="1:8" ht="12.75" hidden="1">
      <c r="A23" s="471"/>
      <c r="B23" s="485">
        <v>6382</v>
      </c>
      <c r="C23" s="490" t="s">
        <v>287</v>
      </c>
      <c r="D23" s="490"/>
      <c r="E23" s="482">
        <f>314412/7.5345</f>
        <v>41729.643639259404</v>
      </c>
      <c r="F23" s="482">
        <v>272081.76</v>
      </c>
      <c r="G23" s="482">
        <v>18013.71</v>
      </c>
      <c r="H23" s="479"/>
    </row>
    <row r="24" spans="1:8" ht="12.75" hidden="1">
      <c r="A24" s="471"/>
      <c r="B24" s="471">
        <v>639</v>
      </c>
      <c r="C24" s="491" t="s">
        <v>288</v>
      </c>
      <c r="D24" s="491"/>
      <c r="E24" s="488">
        <f>SUM(E25)</f>
        <v>171.47786847169687</v>
      </c>
      <c r="F24" s="488">
        <f>SUM(F25)</f>
        <v>0</v>
      </c>
      <c r="G24" s="488">
        <f>SUM(G25)</f>
        <v>0</v>
      </c>
      <c r="H24" s="479"/>
    </row>
    <row r="25" spans="1:8" ht="12.75" hidden="1">
      <c r="A25" s="471"/>
      <c r="B25" s="485">
        <v>6391</v>
      </c>
      <c r="C25" s="490" t="s">
        <v>289</v>
      </c>
      <c r="D25" s="490"/>
      <c r="E25" s="482">
        <f>1292/7.5345</f>
        <v>171.47786847169687</v>
      </c>
      <c r="F25" s="482">
        <v>0</v>
      </c>
      <c r="G25" s="482">
        <v>0</v>
      </c>
      <c r="H25" s="479"/>
    </row>
    <row r="26" spans="1:8" ht="12.75" hidden="1">
      <c r="A26" s="471"/>
      <c r="B26" s="492">
        <v>64</v>
      </c>
      <c r="C26" s="493" t="s">
        <v>71</v>
      </c>
      <c r="D26" s="493"/>
      <c r="E26" s="494">
        <f>SUM(E27:E29)</f>
        <v>50144.53513836353</v>
      </c>
      <c r="F26" s="494">
        <f>SUM(F27:F29)</f>
        <v>120462.42</v>
      </c>
      <c r="G26" s="494">
        <f>SUM(G27:G29)</f>
        <v>55180.92</v>
      </c>
      <c r="H26" s="475">
        <f>G26/F26*100</f>
        <v>45.80758048858723</v>
      </c>
    </row>
    <row r="27" spans="1:8" ht="12.75" hidden="1">
      <c r="A27" s="471"/>
      <c r="B27" s="485">
        <v>6413</v>
      </c>
      <c r="C27" s="486" t="s">
        <v>290</v>
      </c>
      <c r="D27" s="486"/>
      <c r="E27" s="482">
        <f>439/7.5345</f>
        <v>58.26531289402084</v>
      </c>
      <c r="F27" s="482">
        <v>746.44</v>
      </c>
      <c r="G27" s="482">
        <v>204.07</v>
      </c>
      <c r="H27" s="479"/>
    </row>
    <row r="28" spans="1:8" ht="12.75" hidden="1">
      <c r="A28" s="471"/>
      <c r="B28" s="485">
        <v>6419</v>
      </c>
      <c r="C28" s="486" t="s">
        <v>291</v>
      </c>
      <c r="D28" s="486"/>
      <c r="E28" s="482">
        <f>376342/7.5345</f>
        <v>49949.1671643772</v>
      </c>
      <c r="F28" s="482">
        <v>119450.53</v>
      </c>
      <c r="G28" s="482">
        <v>54839.75</v>
      </c>
      <c r="H28" s="479"/>
    </row>
    <row r="29" spans="1:8" ht="12.75" hidden="1">
      <c r="A29" s="471"/>
      <c r="B29" s="485">
        <v>6429</v>
      </c>
      <c r="C29" s="486" t="s">
        <v>88</v>
      </c>
      <c r="D29" s="486"/>
      <c r="E29" s="482">
        <f>1033/7.5345</f>
        <v>137.1026610923087</v>
      </c>
      <c r="F29" s="482">
        <f>265.45</f>
        <v>265.45</v>
      </c>
      <c r="G29" s="482">
        <v>137.1</v>
      </c>
      <c r="H29" s="479"/>
    </row>
    <row r="30" spans="1:8" ht="12.75" hidden="1">
      <c r="A30" s="471"/>
      <c r="B30" s="492">
        <v>65</v>
      </c>
      <c r="C30" s="493" t="s">
        <v>75</v>
      </c>
      <c r="D30" s="493"/>
      <c r="E30" s="494">
        <f>E31</f>
        <v>1523828.3894087197</v>
      </c>
      <c r="F30" s="494">
        <f>SUM(F31)</f>
        <v>6950029.86</v>
      </c>
      <c r="G30" s="494">
        <f>SUM(G31)</f>
        <v>1963072.34</v>
      </c>
      <c r="H30" s="475">
        <f>G30/F30*100</f>
        <v>28.24552382570627</v>
      </c>
    </row>
    <row r="31" spans="1:8" ht="12.75" hidden="1">
      <c r="A31" s="471"/>
      <c r="B31" s="471">
        <v>652</v>
      </c>
      <c r="C31" s="487" t="s">
        <v>75</v>
      </c>
      <c r="D31" s="487"/>
      <c r="E31" s="488">
        <f>SUM(E32)</f>
        <v>1523828.3894087197</v>
      </c>
      <c r="F31" s="488">
        <f>SUM(F32)</f>
        <v>6950029.86</v>
      </c>
      <c r="G31" s="488">
        <f>SUM(G32)</f>
        <v>1963072.34</v>
      </c>
      <c r="H31" s="479"/>
    </row>
    <row r="32" spans="1:8" ht="12.75" hidden="1">
      <c r="A32" s="471"/>
      <c r="B32" s="485">
        <v>6526</v>
      </c>
      <c r="C32" s="486" t="s">
        <v>292</v>
      </c>
      <c r="D32" s="486"/>
      <c r="E32" s="482">
        <f>11481285/7.5345</f>
        <v>1523828.3894087197</v>
      </c>
      <c r="F32" s="482">
        <f>6950029.86</f>
        <v>6950029.86</v>
      </c>
      <c r="G32" s="482">
        <v>1963072.34</v>
      </c>
      <c r="H32" s="479"/>
    </row>
    <row r="33" spans="1:8" ht="12.75" hidden="1">
      <c r="A33" s="471"/>
      <c r="B33" s="492">
        <v>66</v>
      </c>
      <c r="C33" s="493" t="s">
        <v>293</v>
      </c>
      <c r="D33" s="493"/>
      <c r="E33" s="494">
        <f>E34+E37</f>
        <v>1701559.227553255</v>
      </c>
      <c r="F33" s="494">
        <f>SUM(F34,F37)</f>
        <v>3641484.8899999997</v>
      </c>
      <c r="G33" s="494">
        <f>SUM(G34,G37)</f>
        <v>1739052.02</v>
      </c>
      <c r="H33" s="475">
        <f>G33/F33*100</f>
        <v>47.75667269073853</v>
      </c>
    </row>
    <row r="34" spans="1:8" ht="12.75" hidden="1">
      <c r="A34" s="471"/>
      <c r="B34" s="471">
        <v>661</v>
      </c>
      <c r="C34" s="491" t="s">
        <v>294</v>
      </c>
      <c r="D34" s="491"/>
      <c r="E34" s="488">
        <f>SUM(E35:E36)</f>
        <v>1677912.004778021</v>
      </c>
      <c r="F34" s="488">
        <f>SUM(F36,F35)</f>
        <v>3521370.76</v>
      </c>
      <c r="G34" s="488">
        <f>SUM(G36,G35)</f>
        <v>1704828.02</v>
      </c>
      <c r="H34" s="479"/>
    </row>
    <row r="35" spans="1:8" s="446" customFormat="1" ht="12.75" hidden="1">
      <c r="A35" s="485"/>
      <c r="B35" s="485">
        <v>6614</v>
      </c>
      <c r="C35" s="490" t="s">
        <v>295</v>
      </c>
      <c r="D35" s="490"/>
      <c r="E35" s="482">
        <f>6216809/7.5345</f>
        <v>825112.349857323</v>
      </c>
      <c r="F35" s="482">
        <v>1725396.51</v>
      </c>
      <c r="G35" s="482">
        <v>916985.05</v>
      </c>
      <c r="H35" s="479"/>
    </row>
    <row r="36" spans="1:8" ht="12.75" hidden="1">
      <c r="A36" s="471"/>
      <c r="B36" s="485">
        <v>6615</v>
      </c>
      <c r="C36" s="486" t="s">
        <v>95</v>
      </c>
      <c r="D36" s="486"/>
      <c r="E36" s="482">
        <f>6425419/7.5345</f>
        <v>852799.654920698</v>
      </c>
      <c r="F36" s="482">
        <v>1795974.25</v>
      </c>
      <c r="G36" s="482">
        <v>787842.97</v>
      </c>
      <c r="H36" s="479"/>
    </row>
    <row r="37" spans="1:8" ht="12.75" hidden="1">
      <c r="A37" s="471"/>
      <c r="B37" s="471">
        <v>663</v>
      </c>
      <c r="C37" s="487" t="s">
        <v>296</v>
      </c>
      <c r="D37" s="487"/>
      <c r="E37" s="488">
        <f>SUM(E38:E39)</f>
        <v>23647.222775233924</v>
      </c>
      <c r="F37" s="488">
        <f>SUM(F38:F39)</f>
        <v>120114.13</v>
      </c>
      <c r="G37" s="488">
        <f>SUM(G38:G39)</f>
        <v>34224</v>
      </c>
      <c r="H37" s="479"/>
    </row>
    <row r="38" spans="1:8" ht="12.75" hidden="1">
      <c r="A38" s="471"/>
      <c r="B38" s="485">
        <v>6631</v>
      </c>
      <c r="C38" s="486" t="s">
        <v>99</v>
      </c>
      <c r="D38" s="486"/>
      <c r="E38" s="482">
        <f>5000/7.5345</f>
        <v>663.6140420731302</v>
      </c>
      <c r="F38" s="482">
        <v>53752.73</v>
      </c>
      <c r="G38" s="482">
        <f>5600+1310</f>
        <v>6910</v>
      </c>
      <c r="H38" s="479"/>
    </row>
    <row r="39" spans="1:8" ht="12.75" hidden="1">
      <c r="A39" s="471"/>
      <c r="B39" s="485">
        <v>6632</v>
      </c>
      <c r="C39" s="486" t="s">
        <v>101</v>
      </c>
      <c r="D39" s="486"/>
      <c r="E39" s="482">
        <f>173170/7.5345</f>
        <v>22983.608733160792</v>
      </c>
      <c r="F39" s="482">
        <v>66361.4</v>
      </c>
      <c r="G39" s="482">
        <v>27314</v>
      </c>
      <c r="H39" s="479"/>
    </row>
    <row r="40" spans="1:8" s="447" customFormat="1" ht="12.75" hidden="1">
      <c r="A40" s="471"/>
      <c r="B40" s="492">
        <v>67</v>
      </c>
      <c r="C40" s="493" t="s">
        <v>297</v>
      </c>
      <c r="D40" s="493"/>
      <c r="E40" s="494">
        <f aca="true" t="shared" si="0" ref="E40:G41">SUM(E41)</f>
        <v>20985599.57528701</v>
      </c>
      <c r="F40" s="494">
        <f t="shared" si="0"/>
        <v>52367289.02</v>
      </c>
      <c r="G40" s="494">
        <f t="shared" si="0"/>
        <v>24656056.14</v>
      </c>
      <c r="H40" s="475">
        <f>G40/F40*100</f>
        <v>47.08293402506173</v>
      </c>
    </row>
    <row r="41" spans="1:8" ht="12.75" hidden="1">
      <c r="A41" s="471"/>
      <c r="B41" s="471">
        <v>673</v>
      </c>
      <c r="C41" s="487" t="s">
        <v>300</v>
      </c>
      <c r="D41" s="487"/>
      <c r="E41" s="488">
        <f t="shared" si="0"/>
        <v>20985599.57528701</v>
      </c>
      <c r="F41" s="488">
        <f t="shared" si="0"/>
        <v>52367289.02</v>
      </c>
      <c r="G41" s="488">
        <f t="shared" si="0"/>
        <v>24656056.14</v>
      </c>
      <c r="H41" s="479"/>
    </row>
    <row r="42" spans="1:8" ht="12.75" hidden="1">
      <c r="A42" s="471"/>
      <c r="B42" s="485">
        <v>6731</v>
      </c>
      <c r="C42" s="486" t="s">
        <v>79</v>
      </c>
      <c r="D42" s="486"/>
      <c r="E42" s="482">
        <f>158116000/7.5345</f>
        <v>20985599.57528701</v>
      </c>
      <c r="F42" s="482">
        <v>52367289.02</v>
      </c>
      <c r="G42" s="482">
        <v>24656056.14</v>
      </c>
      <c r="H42" s="479"/>
    </row>
    <row r="43" spans="1:8" ht="15" hidden="1">
      <c r="A43" s="471"/>
      <c r="B43" s="492">
        <v>68</v>
      </c>
      <c r="C43" s="495" t="s">
        <v>82</v>
      </c>
      <c r="D43" s="495"/>
      <c r="E43" s="494">
        <f aca="true" t="shared" si="1" ref="E43:G44">SUM(E44)</f>
        <v>73202.60136704492</v>
      </c>
      <c r="F43" s="494">
        <f t="shared" si="1"/>
        <v>170007.44</v>
      </c>
      <c r="G43" s="494">
        <f t="shared" si="1"/>
        <v>528760.56</v>
      </c>
      <c r="H43" s="475">
        <f>G43/F43*100</f>
        <v>311.0220117425449</v>
      </c>
    </row>
    <row r="44" spans="1:8" ht="12.75" hidden="1">
      <c r="A44" s="471"/>
      <c r="B44" s="471">
        <v>683</v>
      </c>
      <c r="C44" s="487" t="s">
        <v>84</v>
      </c>
      <c r="D44" s="487"/>
      <c r="E44" s="488">
        <f t="shared" si="1"/>
        <v>73202.60136704492</v>
      </c>
      <c r="F44" s="488">
        <f t="shared" si="1"/>
        <v>170007.44</v>
      </c>
      <c r="G44" s="488">
        <f t="shared" si="1"/>
        <v>528760.56</v>
      </c>
      <c r="H44" s="479"/>
    </row>
    <row r="45" spans="1:8" ht="12.75" hidden="1">
      <c r="A45" s="471"/>
      <c r="B45" s="485">
        <v>6831</v>
      </c>
      <c r="C45" s="486" t="s">
        <v>84</v>
      </c>
      <c r="D45" s="486"/>
      <c r="E45" s="482">
        <f>551545/7.5345</f>
        <v>73202.60136704492</v>
      </c>
      <c r="F45" s="482">
        <v>170007.44</v>
      </c>
      <c r="G45" s="482">
        <v>528760.56</v>
      </c>
      <c r="H45" s="479"/>
    </row>
    <row r="46" spans="1:8" ht="15" hidden="1">
      <c r="A46" s="467">
        <v>7</v>
      </c>
      <c r="B46" s="467"/>
      <c r="C46" s="496" t="s">
        <v>105</v>
      </c>
      <c r="D46" s="496"/>
      <c r="E46" s="497">
        <f>E48</f>
        <v>206.78213550998737</v>
      </c>
      <c r="F46" s="497">
        <f>SUM(F47)</f>
        <v>7432.4800000000005</v>
      </c>
      <c r="G46" s="497">
        <f>SUM(G47)</f>
        <v>18031</v>
      </c>
      <c r="H46" s="470">
        <f>G46/F46*100</f>
        <v>242.5973564678277</v>
      </c>
    </row>
    <row r="47" spans="1:8" ht="15" hidden="1">
      <c r="A47" s="471"/>
      <c r="B47" s="492">
        <v>72</v>
      </c>
      <c r="C47" s="498" t="s">
        <v>106</v>
      </c>
      <c r="D47" s="498"/>
      <c r="E47" s="494">
        <f>SUM(E48)</f>
        <v>206.78213550998737</v>
      </c>
      <c r="F47" s="494">
        <f>SUM(F48)</f>
        <v>7432.4800000000005</v>
      </c>
      <c r="G47" s="494">
        <f>SUM(G48)</f>
        <v>18031</v>
      </c>
      <c r="H47" s="475">
        <f>G47/F47*100</f>
        <v>242.5973564678277</v>
      </c>
    </row>
    <row r="48" spans="1:8" ht="12.75" hidden="1">
      <c r="A48" s="471"/>
      <c r="B48" s="471">
        <v>721</v>
      </c>
      <c r="C48" s="487" t="s">
        <v>107</v>
      </c>
      <c r="D48" s="487"/>
      <c r="E48" s="488">
        <f>SUM(E49)</f>
        <v>206.78213550998737</v>
      </c>
      <c r="F48" s="488">
        <f>SUM(F49,F50)</f>
        <v>7432.4800000000005</v>
      </c>
      <c r="G48" s="488">
        <f>SUM(G49,G50)</f>
        <v>18031</v>
      </c>
      <c r="H48" s="479"/>
    </row>
    <row r="49" spans="1:8" ht="12.75" hidden="1">
      <c r="A49" s="471"/>
      <c r="B49" s="485">
        <v>7211</v>
      </c>
      <c r="C49" s="486" t="s">
        <v>108</v>
      </c>
      <c r="D49" s="486"/>
      <c r="E49" s="482">
        <f>1558/7.5345</f>
        <v>206.78213550998737</v>
      </c>
      <c r="F49" s="482">
        <v>796.34</v>
      </c>
      <c r="G49" s="482">
        <v>18031</v>
      </c>
      <c r="H49" s="479"/>
    </row>
    <row r="50" spans="1:8" ht="12.75" hidden="1">
      <c r="A50" s="471"/>
      <c r="B50" s="485">
        <v>7231</v>
      </c>
      <c r="C50" s="486" t="s">
        <v>110</v>
      </c>
      <c r="D50" s="486"/>
      <c r="E50" s="482">
        <v>0</v>
      </c>
      <c r="F50" s="482">
        <v>6636.14</v>
      </c>
      <c r="G50" s="482">
        <v>0</v>
      </c>
      <c r="H50" s="479"/>
    </row>
    <row r="51" spans="1:8" ht="18.75" hidden="1">
      <c r="A51" s="729" t="s">
        <v>301</v>
      </c>
      <c r="B51" s="730"/>
      <c r="C51" s="731"/>
      <c r="D51" s="499"/>
      <c r="E51" s="500">
        <f>E10+E46</f>
        <v>24659352.57814055</v>
      </c>
      <c r="F51" s="500">
        <f>F10+F46</f>
        <v>63896084.97</v>
      </c>
      <c r="G51" s="500">
        <f>G10+G46</f>
        <v>30852949.75</v>
      </c>
      <c r="H51" s="501">
        <f>G51/F51*100</f>
        <v>48.28613484611122</v>
      </c>
    </row>
    <row r="52" ht="12.75" hidden="1"/>
    <row r="53" ht="12.75" hidden="1"/>
    <row r="54" spans="1:8" ht="15.75">
      <c r="A54" s="732" t="s">
        <v>307</v>
      </c>
      <c r="B54" s="732"/>
      <c r="C54" s="732"/>
      <c r="D54" s="732"/>
      <c r="E54" s="732"/>
      <c r="F54" s="732"/>
      <c r="G54" s="732"/>
      <c r="H54" s="732"/>
    </row>
    <row r="55" spans="1:9" ht="69" customHeight="1">
      <c r="A55" s="458" t="s">
        <v>33</v>
      </c>
      <c r="B55" s="458" t="s">
        <v>34</v>
      </c>
      <c r="C55" s="459" t="s">
        <v>36</v>
      </c>
      <c r="D55" s="461" t="s">
        <v>308</v>
      </c>
      <c r="E55" s="460" t="s">
        <v>38</v>
      </c>
      <c r="F55" s="461" t="s">
        <v>39</v>
      </c>
      <c r="G55" s="461" t="s">
        <v>309</v>
      </c>
      <c r="H55" s="462" t="s">
        <v>41</v>
      </c>
      <c r="I55" s="462" t="s">
        <v>41</v>
      </c>
    </row>
    <row r="56" spans="1:9" s="448" customFormat="1" ht="13.5" customHeight="1">
      <c r="A56" s="733">
        <v>1</v>
      </c>
      <c r="B56" s="734"/>
      <c r="C56" s="735"/>
      <c r="D56" s="502">
        <v>2</v>
      </c>
      <c r="E56" s="503">
        <v>3</v>
      </c>
      <c r="F56" s="503">
        <v>4</v>
      </c>
      <c r="G56" s="504">
        <v>5</v>
      </c>
      <c r="H56" s="505" t="s">
        <v>310</v>
      </c>
      <c r="I56" s="505" t="s">
        <v>311</v>
      </c>
    </row>
    <row r="57" spans="1:9" ht="12.75">
      <c r="A57" s="467">
        <v>3</v>
      </c>
      <c r="B57" s="506"/>
      <c r="C57" s="506" t="s">
        <v>117</v>
      </c>
      <c r="D57" s="497">
        <f>D58+D70+D103+D109+D113+D116</f>
        <v>8982995.43</v>
      </c>
      <c r="E57" s="497">
        <f>E58+E70+E103+E109+E113+E116</f>
        <v>8723206.579999998</v>
      </c>
      <c r="F57" s="497">
        <f>F58+F70+F103+F113+F116</f>
        <v>9592918</v>
      </c>
      <c r="G57" s="497">
        <f>G58+G70+G103+G109+G113+G116</f>
        <v>9626003.089999998</v>
      </c>
      <c r="H57" s="470">
        <f>G57/F57*100</f>
        <v>100.34489078297133</v>
      </c>
      <c r="I57" s="470">
        <f>G57/D57*100</f>
        <v>107.15805395884519</v>
      </c>
    </row>
    <row r="58" spans="1:9" ht="12.75">
      <c r="A58" s="471"/>
      <c r="B58" s="507">
        <v>31</v>
      </c>
      <c r="C58" s="507" t="s">
        <v>123</v>
      </c>
      <c r="D58" s="508">
        <f>SUM(D59,D64,D66)</f>
        <v>4421940.59</v>
      </c>
      <c r="E58" s="508">
        <f>SUM(E59,E64,E66)</f>
        <v>4419669.52</v>
      </c>
      <c r="F58" s="508">
        <f>SUM(F59,F64,F66)</f>
        <v>5013052</v>
      </c>
      <c r="G58" s="508">
        <f>SUM(G59,G64,G66)</f>
        <v>4991763.619999999</v>
      </c>
      <c r="H58" s="509">
        <f>G58/F58*100</f>
        <v>99.57534093003622</v>
      </c>
      <c r="I58" s="509" t="e">
        <f>#REF!/G58*100</f>
        <v>#REF!</v>
      </c>
    </row>
    <row r="59" spans="1:9" ht="12.75">
      <c r="A59" s="471"/>
      <c r="B59" s="487">
        <v>311</v>
      </c>
      <c r="C59" s="487" t="s">
        <v>312</v>
      </c>
      <c r="D59" s="488">
        <f>SUM(D60:D63)</f>
        <v>2974950.69</v>
      </c>
      <c r="E59" s="488">
        <f>SUM(E60:E63)</f>
        <v>3019842.07</v>
      </c>
      <c r="F59" s="488">
        <f>SUM(F60:F63)</f>
        <v>4213000</v>
      </c>
      <c r="G59" s="488">
        <f>SUM(G60:G63)</f>
        <v>4162090.8699999996</v>
      </c>
      <c r="H59" s="479"/>
      <c r="I59" s="479"/>
    </row>
    <row r="60" spans="1:9" ht="12.75">
      <c r="A60" s="471"/>
      <c r="B60" s="486">
        <v>3111</v>
      </c>
      <c r="C60" s="486" t="s">
        <v>125</v>
      </c>
      <c r="D60" s="482">
        <v>2583108.86</v>
      </c>
      <c r="E60" s="482">
        <v>3019842.07</v>
      </c>
      <c r="F60" s="482">
        <v>3768000</v>
      </c>
      <c r="G60" s="482">
        <v>3726391.34</v>
      </c>
      <c r="H60" s="479"/>
      <c r="I60" s="479"/>
    </row>
    <row r="61" spans="1:9" ht="12.75">
      <c r="A61" s="471"/>
      <c r="B61" s="486">
        <v>3112</v>
      </c>
      <c r="C61" s="486" t="s">
        <v>127</v>
      </c>
      <c r="D61" s="482"/>
      <c r="E61" s="482"/>
      <c r="F61" s="482"/>
      <c r="G61" s="482"/>
      <c r="H61" s="479"/>
      <c r="I61" s="479"/>
    </row>
    <row r="62" spans="1:9" ht="12.75">
      <c r="A62" s="471"/>
      <c r="B62" s="486">
        <v>3113</v>
      </c>
      <c r="C62" s="486" t="s">
        <v>129</v>
      </c>
      <c r="D62" s="482">
        <v>59357.63</v>
      </c>
      <c r="E62" s="482"/>
      <c r="F62" s="482">
        <v>55000</v>
      </c>
      <c r="G62" s="482">
        <v>48746.61</v>
      </c>
      <c r="H62" s="479"/>
      <c r="I62" s="479"/>
    </row>
    <row r="63" spans="1:9" ht="12.75">
      <c r="A63" s="471"/>
      <c r="B63" s="486">
        <v>3114</v>
      </c>
      <c r="C63" s="486" t="s">
        <v>246</v>
      </c>
      <c r="D63" s="482">
        <v>332484.2</v>
      </c>
      <c r="E63" s="482"/>
      <c r="F63" s="482">
        <v>390000</v>
      </c>
      <c r="G63" s="482">
        <v>386952.92</v>
      </c>
      <c r="H63" s="479"/>
      <c r="I63" s="479"/>
    </row>
    <row r="64" spans="1:9" ht="12.75">
      <c r="A64" s="471"/>
      <c r="B64" s="487">
        <v>312</v>
      </c>
      <c r="C64" s="487" t="s">
        <v>133</v>
      </c>
      <c r="D64" s="488">
        <f>SUM(D65)</f>
        <v>184786.78</v>
      </c>
      <c r="E64" s="488">
        <f>SUM(E65)</f>
        <v>178512.18</v>
      </c>
      <c r="F64" s="488">
        <f>SUM(F65)</f>
        <v>210000</v>
      </c>
      <c r="G64" s="488">
        <f>SUM(G65)</f>
        <v>229989.44</v>
      </c>
      <c r="H64" s="479"/>
      <c r="I64" s="479"/>
    </row>
    <row r="65" spans="1:9" ht="12.75">
      <c r="A65" s="471"/>
      <c r="B65" s="486">
        <v>3121</v>
      </c>
      <c r="C65" s="486" t="s">
        <v>133</v>
      </c>
      <c r="D65" s="482">
        <v>184786.78</v>
      </c>
      <c r="E65" s="482">
        <v>178512.18</v>
      </c>
      <c r="F65" s="482">
        <v>210000</v>
      </c>
      <c r="G65" s="482">
        <v>229989.44</v>
      </c>
      <c r="H65" s="479"/>
      <c r="I65" s="479"/>
    </row>
    <row r="66" spans="1:9" ht="12.75">
      <c r="A66" s="471"/>
      <c r="B66" s="487">
        <v>313</v>
      </c>
      <c r="C66" s="487" t="s">
        <v>313</v>
      </c>
      <c r="D66" s="488">
        <f>D67+D68+D69</f>
        <v>1262203.12</v>
      </c>
      <c r="E66" s="488">
        <f>SUM(E67:E69)</f>
        <v>1221315.27</v>
      </c>
      <c r="F66" s="488">
        <f>F67+F68+F69</f>
        <v>590052</v>
      </c>
      <c r="G66" s="488">
        <f>G67+G68+G69</f>
        <v>599683.31</v>
      </c>
      <c r="H66" s="479"/>
      <c r="I66" s="479"/>
    </row>
    <row r="67" spans="1:9" s="446" customFormat="1" ht="12.75">
      <c r="A67" s="485"/>
      <c r="B67" s="486">
        <v>3131</v>
      </c>
      <c r="C67" s="486" t="s">
        <v>261</v>
      </c>
      <c r="D67" s="482">
        <v>732017.05</v>
      </c>
      <c r="E67" s="482">
        <v>678080.82</v>
      </c>
      <c r="F67" s="482"/>
      <c r="G67" s="482"/>
      <c r="H67" s="479"/>
      <c r="I67" s="479"/>
    </row>
    <row r="68" spans="1:9" s="446" customFormat="1" ht="12.75">
      <c r="A68" s="485"/>
      <c r="B68" s="486">
        <v>3132</v>
      </c>
      <c r="C68" s="486" t="s">
        <v>314</v>
      </c>
      <c r="D68" s="482">
        <v>527684.15</v>
      </c>
      <c r="E68" s="482">
        <v>543234.45</v>
      </c>
      <c r="F68" s="482">
        <v>590000</v>
      </c>
      <c r="G68" s="482">
        <v>599613.15</v>
      </c>
      <c r="H68" s="479"/>
      <c r="I68" s="479"/>
    </row>
    <row r="69" spans="1:9" ht="12.75">
      <c r="A69" s="471"/>
      <c r="B69" s="486">
        <v>3133</v>
      </c>
      <c r="C69" s="486" t="s">
        <v>315</v>
      </c>
      <c r="D69" s="482">
        <v>2501.92</v>
      </c>
      <c r="E69" s="482"/>
      <c r="F69" s="482">
        <v>52</v>
      </c>
      <c r="G69" s="482">
        <v>70.16</v>
      </c>
      <c r="H69" s="479"/>
      <c r="I69" s="479"/>
    </row>
    <row r="70" spans="1:9" ht="12.75">
      <c r="A70" s="471"/>
      <c r="B70" s="507">
        <v>32</v>
      </c>
      <c r="C70" s="507" t="s">
        <v>137</v>
      </c>
      <c r="D70" s="508">
        <f>SUM(D71,D76,D83,D93,D95)</f>
        <v>4522876.93</v>
      </c>
      <c r="E70" s="508">
        <f>SUM(E71,E76,E83,E93,E95)</f>
        <v>4262392.989999999</v>
      </c>
      <c r="F70" s="508">
        <f>SUM(F71,F76,F83,F93,F95)</f>
        <v>4551966</v>
      </c>
      <c r="G70" s="508">
        <f>SUM(G71,G76,G83,G93,G95)</f>
        <v>4609852.170000001</v>
      </c>
      <c r="H70" s="509">
        <f>G70/F70*100</f>
        <v>101.27167404150208</v>
      </c>
      <c r="I70" s="509">
        <f>G70/D70*100</f>
        <v>101.92300700076757</v>
      </c>
    </row>
    <row r="71" spans="1:9" ht="12.75">
      <c r="A71" s="471"/>
      <c r="B71" s="487">
        <v>321</v>
      </c>
      <c r="C71" s="487" t="s">
        <v>138</v>
      </c>
      <c r="D71" s="488">
        <f>SUM(D72:D75)</f>
        <v>199579.28000000003</v>
      </c>
      <c r="E71" s="488">
        <f>SUM(E72:E75)</f>
        <v>226292.39</v>
      </c>
      <c r="F71" s="488">
        <f>SUM(F72:F75)</f>
        <v>187000</v>
      </c>
      <c r="G71" s="488">
        <f>SUM(G72:G75)</f>
        <v>182177.81000000003</v>
      </c>
      <c r="H71" s="479"/>
      <c r="I71" s="479"/>
    </row>
    <row r="72" spans="1:9" ht="12.75">
      <c r="A72" s="471"/>
      <c r="B72" s="486">
        <v>3211</v>
      </c>
      <c r="C72" s="486" t="s">
        <v>140</v>
      </c>
      <c r="D72" s="482">
        <v>21724.66</v>
      </c>
      <c r="E72" s="482">
        <v>9290.6</v>
      </c>
      <c r="F72" s="482">
        <v>7000</v>
      </c>
      <c r="G72" s="482">
        <v>8921.92</v>
      </c>
      <c r="H72" s="479"/>
      <c r="I72" s="479"/>
    </row>
    <row r="73" spans="1:9" ht="12.75">
      <c r="A73" s="471"/>
      <c r="B73" s="486">
        <v>3212</v>
      </c>
      <c r="C73" s="486" t="s">
        <v>316</v>
      </c>
      <c r="D73" s="482">
        <v>166761.89</v>
      </c>
      <c r="E73" s="482">
        <v>208374.81</v>
      </c>
      <c r="F73" s="482">
        <v>165000</v>
      </c>
      <c r="G73" s="482">
        <v>158225.48</v>
      </c>
      <c r="H73" s="479"/>
      <c r="I73" s="479"/>
    </row>
    <row r="74" spans="1:9" ht="12.75">
      <c r="A74" s="471"/>
      <c r="B74" s="486">
        <v>3213</v>
      </c>
      <c r="C74" s="486" t="s">
        <v>144</v>
      </c>
      <c r="D74" s="482">
        <v>11092.73</v>
      </c>
      <c r="E74" s="482">
        <v>8626.98</v>
      </c>
      <c r="F74" s="482">
        <v>15000</v>
      </c>
      <c r="G74" s="482">
        <v>15030.41</v>
      </c>
      <c r="H74" s="479"/>
      <c r="I74" s="479"/>
    </row>
    <row r="75" spans="1:9" ht="12.75">
      <c r="A75" s="471"/>
      <c r="B75" s="486">
        <v>3214</v>
      </c>
      <c r="C75" s="486" t="s">
        <v>146</v>
      </c>
      <c r="D75" s="482"/>
      <c r="E75" s="482">
        <v>0</v>
      </c>
      <c r="F75" s="482"/>
      <c r="G75" s="482"/>
      <c r="H75" s="479"/>
      <c r="I75" s="479"/>
    </row>
    <row r="76" spans="1:9" ht="12.75">
      <c r="A76" s="471"/>
      <c r="B76" s="487">
        <v>322</v>
      </c>
      <c r="C76" s="487" t="s">
        <v>148</v>
      </c>
      <c r="D76" s="488">
        <f>SUM(D77:D82)</f>
        <v>3811063.02</v>
      </c>
      <c r="E76" s="488">
        <f>SUM(E77:E82)</f>
        <v>3494198.4399999995</v>
      </c>
      <c r="F76" s="488">
        <f>SUM(F77:F82)</f>
        <v>3862966</v>
      </c>
      <c r="G76" s="488">
        <f>SUM(G77:G82)</f>
        <v>3912843.16</v>
      </c>
      <c r="H76" s="479"/>
      <c r="I76" s="479"/>
    </row>
    <row r="77" spans="1:9" ht="12.75">
      <c r="A77" s="471"/>
      <c r="B77" s="486">
        <v>3221</v>
      </c>
      <c r="C77" s="486" t="s">
        <v>150</v>
      </c>
      <c r="D77" s="482">
        <v>70778.33</v>
      </c>
      <c r="E77" s="482">
        <v>46452.98</v>
      </c>
      <c r="F77" s="482">
        <v>70000</v>
      </c>
      <c r="G77" s="482">
        <v>69271.62</v>
      </c>
      <c r="H77" s="479"/>
      <c r="I77" s="479"/>
    </row>
    <row r="78" spans="1:9" ht="12.75">
      <c r="A78" s="471"/>
      <c r="B78" s="486">
        <v>3222</v>
      </c>
      <c r="C78" s="486" t="s">
        <v>152</v>
      </c>
      <c r="D78" s="482">
        <v>3471658.39</v>
      </c>
      <c r="E78" s="482">
        <v>3145801.05</v>
      </c>
      <c r="F78" s="482">
        <v>3535000</v>
      </c>
      <c r="G78" s="482">
        <v>3600036.36</v>
      </c>
      <c r="H78" s="479"/>
      <c r="I78" s="479"/>
    </row>
    <row r="79" spans="1:9" ht="12.75">
      <c r="A79" s="471"/>
      <c r="B79" s="486">
        <v>3223</v>
      </c>
      <c r="C79" s="486" t="s">
        <v>154</v>
      </c>
      <c r="D79" s="482">
        <v>243151.48</v>
      </c>
      <c r="E79" s="482">
        <v>270090.94</v>
      </c>
      <c r="F79" s="482">
        <v>221966</v>
      </c>
      <c r="G79" s="482">
        <v>213168.32</v>
      </c>
      <c r="H79" s="479"/>
      <c r="I79" s="479"/>
    </row>
    <row r="80" spans="1:9" ht="12.75">
      <c r="A80" s="471"/>
      <c r="B80" s="486">
        <v>3224</v>
      </c>
      <c r="C80" s="486" t="s">
        <v>317</v>
      </c>
      <c r="D80" s="482">
        <v>10866.07</v>
      </c>
      <c r="E80" s="482">
        <v>11945.05</v>
      </c>
      <c r="F80" s="482">
        <v>12000</v>
      </c>
      <c r="G80" s="482">
        <v>9672.39</v>
      </c>
      <c r="H80" s="479"/>
      <c r="I80" s="479"/>
    </row>
    <row r="81" spans="1:9" ht="12.75">
      <c r="A81" s="471"/>
      <c r="B81" s="486">
        <v>3225</v>
      </c>
      <c r="C81" s="486" t="s">
        <v>158</v>
      </c>
      <c r="D81" s="482">
        <v>10918.71</v>
      </c>
      <c r="E81" s="482">
        <v>13272.28</v>
      </c>
      <c r="F81" s="482">
        <v>13000</v>
      </c>
      <c r="G81" s="482">
        <v>10459.39</v>
      </c>
      <c r="H81" s="479"/>
      <c r="I81" s="479"/>
    </row>
    <row r="82" spans="1:9" ht="12.75">
      <c r="A82" s="471"/>
      <c r="B82" s="486">
        <v>3227</v>
      </c>
      <c r="C82" s="486" t="s">
        <v>160</v>
      </c>
      <c r="D82" s="482">
        <v>3690.04</v>
      </c>
      <c r="E82" s="482">
        <v>6636.14</v>
      </c>
      <c r="F82" s="482">
        <v>11000</v>
      </c>
      <c r="G82" s="482">
        <v>10235.08</v>
      </c>
      <c r="H82" s="479"/>
      <c r="I82" s="479"/>
    </row>
    <row r="83" spans="1:9" ht="12.75">
      <c r="A83" s="471"/>
      <c r="B83" s="487">
        <v>323</v>
      </c>
      <c r="C83" s="487" t="s">
        <v>162</v>
      </c>
      <c r="D83" s="488">
        <f>SUM(D84:D92)</f>
        <v>406477.73</v>
      </c>
      <c r="E83" s="488">
        <f>SUM(E84:E92)</f>
        <v>441032.84</v>
      </c>
      <c r="F83" s="488">
        <f>SUM(F84:F92)</f>
        <v>446000</v>
      </c>
      <c r="G83" s="488">
        <f>SUM(G84:G92)</f>
        <v>469388.47</v>
      </c>
      <c r="H83" s="479"/>
      <c r="I83" s="479"/>
    </row>
    <row r="84" spans="1:9" ht="12.75">
      <c r="A84" s="471"/>
      <c r="B84" s="486">
        <v>3231</v>
      </c>
      <c r="C84" s="486" t="s">
        <v>318</v>
      </c>
      <c r="D84" s="482">
        <v>33548.23</v>
      </c>
      <c r="E84" s="482">
        <v>33180.7</v>
      </c>
      <c r="F84" s="482">
        <v>34000</v>
      </c>
      <c r="G84" s="482">
        <v>36388.49</v>
      </c>
      <c r="H84" s="479"/>
      <c r="I84" s="479"/>
    </row>
    <row r="85" spans="1:9" ht="12.75">
      <c r="A85" s="471"/>
      <c r="B85" s="486">
        <v>3232</v>
      </c>
      <c r="C85" s="486" t="s">
        <v>166</v>
      </c>
      <c r="D85" s="482">
        <v>154403.54</v>
      </c>
      <c r="E85" s="482">
        <v>189812.46</v>
      </c>
      <c r="F85" s="482">
        <v>170000</v>
      </c>
      <c r="G85" s="482">
        <v>196428.99</v>
      </c>
      <c r="H85" s="479"/>
      <c r="I85" s="479"/>
    </row>
    <row r="86" spans="1:9" ht="12.75">
      <c r="A86" s="471"/>
      <c r="B86" s="486">
        <v>3233</v>
      </c>
      <c r="C86" s="486" t="s">
        <v>168</v>
      </c>
      <c r="D86" s="482">
        <v>663.61</v>
      </c>
      <c r="E86" s="482">
        <v>3318.07</v>
      </c>
      <c r="F86" s="482">
        <v>5000</v>
      </c>
      <c r="G86" s="482">
        <v>5574.77</v>
      </c>
      <c r="H86" s="479"/>
      <c r="I86" s="479"/>
    </row>
    <row r="87" spans="1:9" ht="12.75">
      <c r="A87" s="471"/>
      <c r="B87" s="486">
        <v>3234</v>
      </c>
      <c r="C87" s="486" t="s">
        <v>170</v>
      </c>
      <c r="D87" s="482">
        <v>51770.94</v>
      </c>
      <c r="E87" s="482">
        <v>45125.75</v>
      </c>
      <c r="F87" s="482">
        <v>61000</v>
      </c>
      <c r="G87" s="482">
        <v>61425.55</v>
      </c>
      <c r="H87" s="479"/>
      <c r="I87" s="479"/>
    </row>
    <row r="88" spans="1:9" ht="12.75">
      <c r="A88" s="471"/>
      <c r="B88" s="486">
        <v>3235</v>
      </c>
      <c r="C88" s="486" t="s">
        <v>319</v>
      </c>
      <c r="D88" s="482">
        <v>25103.14</v>
      </c>
      <c r="E88" s="482">
        <v>33180.7</v>
      </c>
      <c r="F88" s="482">
        <v>30000</v>
      </c>
      <c r="G88" s="482">
        <v>23898.21</v>
      </c>
      <c r="H88" s="479"/>
      <c r="I88" s="479"/>
    </row>
    <row r="89" spans="1:9" ht="12.75">
      <c r="A89" s="471"/>
      <c r="B89" s="486">
        <v>3236</v>
      </c>
      <c r="C89" s="486" t="s">
        <v>172</v>
      </c>
      <c r="D89" s="482">
        <v>11514.81</v>
      </c>
      <c r="E89" s="482">
        <v>30128.08</v>
      </c>
      <c r="F89" s="482">
        <v>22000</v>
      </c>
      <c r="G89" s="482">
        <v>24496.01</v>
      </c>
      <c r="H89" s="479"/>
      <c r="I89" s="479"/>
    </row>
    <row r="90" spans="1:9" ht="12.75">
      <c r="A90" s="471"/>
      <c r="B90" s="486">
        <v>3237</v>
      </c>
      <c r="C90" s="486" t="s">
        <v>173</v>
      </c>
      <c r="D90" s="482">
        <v>94814.5</v>
      </c>
      <c r="E90" s="482">
        <v>66361.4</v>
      </c>
      <c r="F90" s="482">
        <v>85000</v>
      </c>
      <c r="G90" s="482">
        <v>84118.72</v>
      </c>
      <c r="H90" s="479"/>
      <c r="I90" s="479"/>
    </row>
    <row r="91" spans="1:9" ht="12.75">
      <c r="A91" s="471"/>
      <c r="B91" s="486">
        <v>3238</v>
      </c>
      <c r="C91" s="486" t="s">
        <v>175</v>
      </c>
      <c r="D91" s="482">
        <v>282.04</v>
      </c>
      <c r="E91" s="482">
        <v>1659.04</v>
      </c>
      <c r="F91" s="482">
        <v>1000</v>
      </c>
      <c r="G91" s="482">
        <v>0</v>
      </c>
      <c r="H91" s="479"/>
      <c r="I91" s="479"/>
    </row>
    <row r="92" spans="1:9" ht="12.75">
      <c r="A92" s="471"/>
      <c r="B92" s="486">
        <v>3239</v>
      </c>
      <c r="C92" s="486" t="s">
        <v>177</v>
      </c>
      <c r="D92" s="482">
        <v>34376.92</v>
      </c>
      <c r="E92" s="482">
        <v>38266.64</v>
      </c>
      <c r="F92" s="482">
        <v>38000</v>
      </c>
      <c r="G92" s="482">
        <v>37057.73</v>
      </c>
      <c r="H92" s="479"/>
      <c r="I92" s="479"/>
    </row>
    <row r="93" spans="1:9" ht="12.75">
      <c r="A93" s="471"/>
      <c r="B93" s="487">
        <v>324</v>
      </c>
      <c r="C93" s="487" t="s">
        <v>320</v>
      </c>
      <c r="D93" s="488">
        <f>SUM(D94)</f>
        <v>0</v>
      </c>
      <c r="E93" s="488">
        <f>SUM(E94)</f>
        <v>0</v>
      </c>
      <c r="F93" s="488">
        <f>SUM(F94)</f>
        <v>0</v>
      </c>
      <c r="G93" s="488">
        <f>SUM(G94)</f>
        <v>0</v>
      </c>
      <c r="H93" s="479"/>
      <c r="I93" s="479"/>
    </row>
    <row r="94" spans="1:9" ht="12.75">
      <c r="A94" s="471"/>
      <c r="B94" s="486">
        <v>3241</v>
      </c>
      <c r="C94" s="486" t="s">
        <v>321</v>
      </c>
      <c r="D94" s="482"/>
      <c r="E94" s="482"/>
      <c r="F94" s="482"/>
      <c r="G94" s="482"/>
      <c r="H94" s="479"/>
      <c r="I94" s="479"/>
    </row>
    <row r="95" spans="1:9" ht="12.75">
      <c r="A95" s="471"/>
      <c r="B95" s="487">
        <v>329</v>
      </c>
      <c r="C95" s="487" t="s">
        <v>179</v>
      </c>
      <c r="D95" s="488">
        <f>SUM(D96:D102)</f>
        <v>105756.9</v>
      </c>
      <c r="E95" s="488">
        <f>SUM(E96:E102)</f>
        <v>100869.31999999999</v>
      </c>
      <c r="F95" s="488">
        <f>SUM(F96:F102)</f>
        <v>56000</v>
      </c>
      <c r="G95" s="488">
        <f>SUM(G96:G102)</f>
        <v>45442.73</v>
      </c>
      <c r="H95" s="479"/>
      <c r="I95" s="479"/>
    </row>
    <row r="96" spans="1:9" ht="12.75">
      <c r="A96" s="471"/>
      <c r="B96" s="486">
        <v>3291</v>
      </c>
      <c r="C96" s="486" t="s">
        <v>322</v>
      </c>
      <c r="D96" s="482">
        <v>6635.36</v>
      </c>
      <c r="E96" s="482">
        <v>6636.14</v>
      </c>
      <c r="F96" s="482">
        <v>7000</v>
      </c>
      <c r="G96" s="482">
        <v>6351.28</v>
      </c>
      <c r="H96" s="479"/>
      <c r="I96" s="479"/>
    </row>
    <row r="97" spans="1:9" ht="12.75">
      <c r="A97" s="471"/>
      <c r="B97" s="486">
        <v>3292</v>
      </c>
      <c r="C97" s="486" t="s">
        <v>182</v>
      </c>
      <c r="D97" s="482">
        <v>25750.15</v>
      </c>
      <c r="E97" s="482">
        <v>26544.56</v>
      </c>
      <c r="F97" s="482">
        <v>22000</v>
      </c>
      <c r="G97" s="482">
        <v>17005.07</v>
      </c>
      <c r="H97" s="479"/>
      <c r="I97" s="479"/>
    </row>
    <row r="98" spans="1:9" ht="12.75">
      <c r="A98" s="471"/>
      <c r="B98" s="486">
        <v>3293</v>
      </c>
      <c r="C98" s="486" t="s">
        <v>183</v>
      </c>
      <c r="D98" s="482">
        <v>4614.14</v>
      </c>
      <c r="E98" s="482">
        <v>3981.68</v>
      </c>
      <c r="F98" s="482">
        <v>4000</v>
      </c>
      <c r="G98" s="482">
        <v>2199.03</v>
      </c>
      <c r="H98" s="479"/>
      <c r="I98" s="479"/>
    </row>
    <row r="99" spans="1:9" ht="12.75">
      <c r="A99" s="471"/>
      <c r="B99" s="486">
        <v>3294</v>
      </c>
      <c r="C99" s="486" t="s">
        <v>184</v>
      </c>
      <c r="D99" s="482">
        <v>8095.96</v>
      </c>
      <c r="E99" s="482">
        <v>6636.14</v>
      </c>
      <c r="F99" s="482">
        <v>3500</v>
      </c>
      <c r="G99" s="482">
        <v>3940.97</v>
      </c>
      <c r="H99" s="479"/>
      <c r="I99" s="479"/>
    </row>
    <row r="100" spans="1:9" ht="12.75">
      <c r="A100" s="471"/>
      <c r="B100" s="486">
        <v>3295</v>
      </c>
      <c r="C100" s="486" t="s">
        <v>185</v>
      </c>
      <c r="D100" s="482">
        <v>12339.47</v>
      </c>
      <c r="E100" s="482">
        <v>13272.28</v>
      </c>
      <c r="F100" s="482">
        <v>11000</v>
      </c>
      <c r="G100" s="482">
        <v>10054.54</v>
      </c>
      <c r="H100" s="479"/>
      <c r="I100" s="479"/>
    </row>
    <row r="101" spans="1:9" ht="12.75">
      <c r="A101" s="471"/>
      <c r="B101" s="486">
        <v>3296</v>
      </c>
      <c r="C101" s="486" t="s">
        <v>186</v>
      </c>
      <c r="D101" s="482">
        <v>38325.14</v>
      </c>
      <c r="E101" s="482">
        <v>39816.84</v>
      </c>
      <c r="F101" s="482">
        <v>8000</v>
      </c>
      <c r="G101" s="482">
        <v>5361.29</v>
      </c>
      <c r="H101" s="479"/>
      <c r="I101" s="479"/>
    </row>
    <row r="102" spans="1:9" ht="12.75">
      <c r="A102" s="471"/>
      <c r="B102" s="486">
        <v>3299</v>
      </c>
      <c r="C102" s="486" t="s">
        <v>179</v>
      </c>
      <c r="D102" s="482">
        <v>9996.68</v>
      </c>
      <c r="E102" s="482">
        <v>3981.68</v>
      </c>
      <c r="F102" s="482">
        <v>500</v>
      </c>
      <c r="G102" s="482">
        <v>530.55</v>
      </c>
      <c r="H102" s="479"/>
      <c r="I102" s="479"/>
    </row>
    <row r="103" spans="1:9" ht="12.75">
      <c r="A103" s="471"/>
      <c r="B103" s="507">
        <v>34</v>
      </c>
      <c r="C103" s="507" t="s">
        <v>323</v>
      </c>
      <c r="D103" s="508">
        <f>D104</f>
        <v>31225.22</v>
      </c>
      <c r="E103" s="508">
        <f>E104</f>
        <v>21235.65</v>
      </c>
      <c r="F103" s="508">
        <f>F104</f>
        <v>18000</v>
      </c>
      <c r="G103" s="508">
        <f>G104</f>
        <v>16360.95</v>
      </c>
      <c r="H103" s="509">
        <f>G103/F103*100</f>
        <v>90.89416666666668</v>
      </c>
      <c r="I103" s="509" t="e">
        <f>#REF!/G103*100</f>
        <v>#REF!</v>
      </c>
    </row>
    <row r="104" spans="1:9" ht="12.75">
      <c r="A104" s="471"/>
      <c r="B104" s="487">
        <v>343</v>
      </c>
      <c r="C104" s="487" t="s">
        <v>189</v>
      </c>
      <c r="D104" s="488">
        <f>SUM(D105:D108)</f>
        <v>31225.22</v>
      </c>
      <c r="E104" s="488">
        <f>SUM(E105:E108)</f>
        <v>21235.65</v>
      </c>
      <c r="F104" s="488">
        <f>SUM(F105:F108)</f>
        <v>18000</v>
      </c>
      <c r="G104" s="488">
        <f>SUM(G105:G108)</f>
        <v>16360.95</v>
      </c>
      <c r="H104" s="479"/>
      <c r="I104" s="479"/>
    </row>
    <row r="105" spans="1:9" ht="12.75">
      <c r="A105" s="471"/>
      <c r="B105" s="486">
        <v>3431</v>
      </c>
      <c r="C105" s="486" t="s">
        <v>324</v>
      </c>
      <c r="D105" s="482">
        <v>20221.29</v>
      </c>
      <c r="E105" s="482">
        <v>17253.97</v>
      </c>
      <c r="F105" s="482">
        <v>16000</v>
      </c>
      <c r="G105" s="482">
        <v>15048.11</v>
      </c>
      <c r="H105" s="479"/>
      <c r="I105" s="479"/>
    </row>
    <row r="106" spans="1:9" ht="12.75">
      <c r="A106" s="471"/>
      <c r="B106" s="486">
        <v>3432</v>
      </c>
      <c r="C106" s="486" t="s">
        <v>240</v>
      </c>
      <c r="D106" s="482">
        <v>3.91</v>
      </c>
      <c r="E106" s="482"/>
      <c r="F106" s="482"/>
      <c r="G106" s="482">
        <v>0</v>
      </c>
      <c r="H106" s="479"/>
      <c r="I106" s="479"/>
    </row>
    <row r="107" spans="1:9" ht="12.75">
      <c r="A107" s="471"/>
      <c r="B107" s="486">
        <v>3433</v>
      </c>
      <c r="C107" s="486" t="s">
        <v>192</v>
      </c>
      <c r="D107" s="482">
        <v>10952.3</v>
      </c>
      <c r="E107" s="482">
        <v>3981.68</v>
      </c>
      <c r="F107" s="482">
        <v>2000</v>
      </c>
      <c r="G107" s="482">
        <v>1312.84</v>
      </c>
      <c r="H107" s="479"/>
      <c r="I107" s="479"/>
    </row>
    <row r="108" spans="1:9" ht="12.75">
      <c r="A108" s="471"/>
      <c r="B108" s="486">
        <v>3434</v>
      </c>
      <c r="C108" s="486" t="s">
        <v>325</v>
      </c>
      <c r="D108" s="482">
        <v>47.72</v>
      </c>
      <c r="E108" s="482"/>
      <c r="F108" s="482"/>
      <c r="G108" s="482">
        <v>0</v>
      </c>
      <c r="H108" s="479"/>
      <c r="I108" s="479"/>
    </row>
    <row r="109" spans="1:9" ht="12.75">
      <c r="A109" s="471"/>
      <c r="B109" s="507">
        <v>36</v>
      </c>
      <c r="C109" s="507" t="s">
        <v>326</v>
      </c>
      <c r="D109" s="508">
        <f>SUM(D110)</f>
        <v>640.76</v>
      </c>
      <c r="E109" s="508">
        <f>SUM(E110)</f>
        <v>7963.37</v>
      </c>
      <c r="F109" s="508">
        <f>SUM(F110)</f>
        <v>0</v>
      </c>
      <c r="G109" s="508">
        <f>SUM(G110)</f>
        <v>0</v>
      </c>
      <c r="H109" s="509"/>
      <c r="I109" s="509" t="e">
        <f>#REF!/G109*100</f>
        <v>#REF!</v>
      </c>
    </row>
    <row r="110" spans="1:9" ht="12.75">
      <c r="A110" s="471"/>
      <c r="B110" s="487">
        <v>369</v>
      </c>
      <c r="C110" s="487" t="s">
        <v>67</v>
      </c>
      <c r="D110" s="488">
        <f>SUM(D111:D112)</f>
        <v>640.76</v>
      </c>
      <c r="E110" s="488">
        <f>SUM(E111:E112)</f>
        <v>7963.37</v>
      </c>
      <c r="F110" s="488">
        <f>SUM(F112)</f>
        <v>0</v>
      </c>
      <c r="G110" s="488">
        <f>SUM(G112)</f>
        <v>0</v>
      </c>
      <c r="H110" s="510"/>
      <c r="I110" s="510"/>
    </row>
    <row r="111" spans="1:9" s="446" customFormat="1" ht="12.75">
      <c r="A111" s="485"/>
      <c r="B111" s="486">
        <v>3691</v>
      </c>
      <c r="C111" s="486" t="s">
        <v>327</v>
      </c>
      <c r="D111" s="482">
        <v>640.76</v>
      </c>
      <c r="E111" s="482"/>
      <c r="F111" s="482"/>
      <c r="G111" s="482"/>
      <c r="H111" s="479"/>
      <c r="I111" s="479"/>
    </row>
    <row r="112" spans="1:9" ht="12.75">
      <c r="A112" s="471"/>
      <c r="B112" s="486">
        <v>3692</v>
      </c>
      <c r="C112" s="486" t="s">
        <v>328</v>
      </c>
      <c r="D112" s="482"/>
      <c r="E112" s="482">
        <v>7963.37</v>
      </c>
      <c r="F112" s="482"/>
      <c r="G112" s="482"/>
      <c r="H112" s="479"/>
      <c r="I112" s="479"/>
    </row>
    <row r="113" spans="1:9" ht="12.75">
      <c r="A113" s="471"/>
      <c r="B113" s="507">
        <v>37</v>
      </c>
      <c r="C113" s="507" t="s">
        <v>197</v>
      </c>
      <c r="D113" s="508">
        <f aca="true" t="shared" si="2" ref="D113:G114">SUM(D114)</f>
        <v>4645.29</v>
      </c>
      <c r="E113" s="508">
        <f t="shared" si="2"/>
        <v>5308.91</v>
      </c>
      <c r="F113" s="508">
        <f t="shared" si="2"/>
        <v>5700</v>
      </c>
      <c r="G113" s="508">
        <f t="shared" si="2"/>
        <v>4645.2</v>
      </c>
      <c r="H113" s="509">
        <f>G113/F113*100</f>
        <v>81.49473684210527</v>
      </c>
      <c r="I113" s="509" t="e">
        <f>#REF!/G113*100</f>
        <v>#REF!</v>
      </c>
    </row>
    <row r="114" spans="1:9" ht="12.75">
      <c r="A114" s="471"/>
      <c r="B114" s="487">
        <v>372</v>
      </c>
      <c r="C114" s="487" t="s">
        <v>198</v>
      </c>
      <c r="D114" s="488">
        <f t="shared" si="2"/>
        <v>4645.29</v>
      </c>
      <c r="E114" s="488">
        <f t="shared" si="2"/>
        <v>5308.91</v>
      </c>
      <c r="F114" s="488">
        <f t="shared" si="2"/>
        <v>5700</v>
      </c>
      <c r="G114" s="488">
        <f t="shared" si="2"/>
        <v>4645.2</v>
      </c>
      <c r="H114" s="510"/>
      <c r="I114" s="510"/>
    </row>
    <row r="115" spans="1:9" ht="12.75">
      <c r="A115" s="471"/>
      <c r="B115" s="486">
        <v>3721</v>
      </c>
      <c r="C115" s="486" t="s">
        <v>199</v>
      </c>
      <c r="D115" s="482">
        <v>4645.29</v>
      </c>
      <c r="E115" s="482">
        <v>5308.91</v>
      </c>
      <c r="F115" s="482">
        <v>5700</v>
      </c>
      <c r="G115" s="482">
        <v>4645.2</v>
      </c>
      <c r="H115" s="479"/>
      <c r="I115" s="479"/>
    </row>
    <row r="116" spans="1:9" ht="12.75">
      <c r="A116" s="471"/>
      <c r="B116" s="507">
        <v>38</v>
      </c>
      <c r="C116" s="507" t="s">
        <v>329</v>
      </c>
      <c r="D116" s="508">
        <f>SUM(D117,D119)</f>
        <v>1666.64</v>
      </c>
      <c r="E116" s="508">
        <f>SUM(E117,E119)</f>
        <v>6636.139999999999</v>
      </c>
      <c r="F116" s="508">
        <f>SUM(F117,F119)</f>
        <v>4200</v>
      </c>
      <c r="G116" s="508">
        <f>SUM(G117,G119)</f>
        <v>3381.15</v>
      </c>
      <c r="H116" s="509">
        <f>G116/F116*100</f>
        <v>80.50357142857143</v>
      </c>
      <c r="I116" s="509" t="e">
        <f>#REF!/G116*100</f>
        <v>#REF!</v>
      </c>
    </row>
    <row r="117" spans="1:9" ht="12.75">
      <c r="A117" s="471"/>
      <c r="B117" s="511">
        <v>381</v>
      </c>
      <c r="C117" s="512" t="s">
        <v>202</v>
      </c>
      <c r="D117" s="513">
        <f>SUM(D118)</f>
        <v>1327.23</v>
      </c>
      <c r="E117" s="513">
        <f>SUM(E118)</f>
        <v>1327.23</v>
      </c>
      <c r="F117" s="513">
        <f>SUM(F118)</f>
        <v>1200</v>
      </c>
      <c r="G117" s="513">
        <f>SUM(G118)</f>
        <v>1200</v>
      </c>
      <c r="H117" s="514"/>
      <c r="I117" s="514"/>
    </row>
    <row r="118" spans="1:9" ht="12.75">
      <c r="A118" s="471"/>
      <c r="B118" s="512">
        <v>3811</v>
      </c>
      <c r="C118" s="512" t="s">
        <v>202</v>
      </c>
      <c r="D118" s="515">
        <v>1327.23</v>
      </c>
      <c r="E118" s="515">
        <v>1327.23</v>
      </c>
      <c r="F118" s="515">
        <v>1200</v>
      </c>
      <c r="G118" s="515">
        <v>1200</v>
      </c>
      <c r="H118" s="516"/>
      <c r="I118" s="516"/>
    </row>
    <row r="119" spans="1:9" ht="12.75">
      <c r="A119" s="471"/>
      <c r="B119" s="487">
        <v>383</v>
      </c>
      <c r="C119" s="487" t="s">
        <v>204</v>
      </c>
      <c r="D119" s="488">
        <f>SUM(D120:D123)</f>
        <v>339.41</v>
      </c>
      <c r="E119" s="488">
        <f>SUM(E120:E123)</f>
        <v>5308.91</v>
      </c>
      <c r="F119" s="488">
        <f>SUM(F120:F123)</f>
        <v>3000</v>
      </c>
      <c r="G119" s="488">
        <f>SUM(G120:G123)</f>
        <v>2181.15</v>
      </c>
      <c r="H119" s="479"/>
      <c r="I119" s="479"/>
    </row>
    <row r="120" spans="1:9" s="446" customFormat="1" ht="12.75">
      <c r="A120" s="485"/>
      <c r="B120" s="486">
        <v>3831</v>
      </c>
      <c r="C120" s="486" t="s">
        <v>330</v>
      </c>
      <c r="D120" s="482"/>
      <c r="E120" s="482"/>
      <c r="F120" s="482"/>
      <c r="G120" s="482"/>
      <c r="H120" s="479"/>
      <c r="I120" s="479"/>
    </row>
    <row r="121" spans="1:9" ht="12.75">
      <c r="A121" s="471"/>
      <c r="B121" s="486">
        <v>3833</v>
      </c>
      <c r="C121" s="486" t="s">
        <v>331</v>
      </c>
      <c r="D121" s="482"/>
      <c r="E121" s="482"/>
      <c r="F121" s="482"/>
      <c r="G121" s="482"/>
      <c r="H121" s="479"/>
      <c r="I121" s="479"/>
    </row>
    <row r="122" spans="1:9" ht="12.75">
      <c r="A122" s="471"/>
      <c r="B122" s="486">
        <v>3834</v>
      </c>
      <c r="C122" s="486" t="s">
        <v>207</v>
      </c>
      <c r="D122" s="482">
        <v>339.41</v>
      </c>
      <c r="E122" s="482">
        <v>5308.91</v>
      </c>
      <c r="F122" s="482">
        <v>3000</v>
      </c>
      <c r="G122" s="482">
        <v>2181.15</v>
      </c>
      <c r="H122" s="479"/>
      <c r="I122" s="479"/>
    </row>
    <row r="123" spans="1:9" ht="12.75">
      <c r="A123" s="471"/>
      <c r="B123" s="486">
        <v>3835</v>
      </c>
      <c r="C123" s="486" t="s">
        <v>208</v>
      </c>
      <c r="D123" s="482"/>
      <c r="E123" s="482"/>
      <c r="F123" s="482"/>
      <c r="G123" s="482"/>
      <c r="H123" s="479"/>
      <c r="I123" s="479"/>
    </row>
    <row r="124" spans="1:9" ht="12.75">
      <c r="A124" s="467">
        <v>4</v>
      </c>
      <c r="B124" s="506"/>
      <c r="C124" s="506" t="s">
        <v>209</v>
      </c>
      <c r="D124" s="497">
        <f>D125+D130+D144</f>
        <v>435199.94000000006</v>
      </c>
      <c r="E124" s="497">
        <f>E125+E130+E144</f>
        <v>392594.07</v>
      </c>
      <c r="F124" s="497">
        <f>F125+F130+F144</f>
        <v>389899.86</v>
      </c>
      <c r="G124" s="497">
        <f>G125+G130+G144</f>
        <v>388090.41000000003</v>
      </c>
      <c r="H124" s="470">
        <f>G124/F124*100</f>
        <v>99.53591929989409</v>
      </c>
      <c r="I124" s="470" t="e">
        <f>#REF!/G124*100</f>
        <v>#REF!</v>
      </c>
    </row>
    <row r="125" spans="1:9" ht="12.75">
      <c r="A125" s="471"/>
      <c r="B125" s="507">
        <v>41</v>
      </c>
      <c r="C125" s="507" t="s">
        <v>332</v>
      </c>
      <c r="D125" s="508">
        <f>SUM(D126,D128)</f>
        <v>0</v>
      </c>
      <c r="E125" s="508">
        <f>SUM(E126,E128)</f>
        <v>0</v>
      </c>
      <c r="F125" s="508">
        <f>SUM(F126,F128)</f>
        <v>0</v>
      </c>
      <c r="G125" s="508">
        <f>SUM(G126,G128)</f>
        <v>0</v>
      </c>
      <c r="H125" s="509"/>
      <c r="I125" s="509" t="e">
        <f>#REF!/G125*100</f>
        <v>#REF!</v>
      </c>
    </row>
    <row r="126" spans="1:9" ht="12.75">
      <c r="A126" s="471"/>
      <c r="B126" s="511">
        <v>411</v>
      </c>
      <c r="C126" s="511" t="s">
        <v>213</v>
      </c>
      <c r="D126" s="513">
        <f>SUM(D127)</f>
        <v>0</v>
      </c>
      <c r="E126" s="513">
        <f>SUM(E127)</f>
        <v>0</v>
      </c>
      <c r="F126" s="513">
        <f>SUM(F127)</f>
        <v>0</v>
      </c>
      <c r="G126" s="513">
        <f>SUM(G127)</f>
        <v>0</v>
      </c>
      <c r="H126" s="514"/>
      <c r="I126" s="514"/>
    </row>
    <row r="127" spans="1:9" ht="12.75">
      <c r="A127" s="471"/>
      <c r="B127" s="512">
        <v>41112</v>
      </c>
      <c r="C127" s="512" t="s">
        <v>215</v>
      </c>
      <c r="D127" s="515"/>
      <c r="E127" s="515"/>
      <c r="F127" s="515"/>
      <c r="G127" s="515"/>
      <c r="H127" s="516"/>
      <c r="I127" s="516"/>
    </row>
    <row r="128" spans="1:9" ht="12.75">
      <c r="A128" s="471"/>
      <c r="B128" s="487">
        <v>412</v>
      </c>
      <c r="C128" s="487" t="s">
        <v>216</v>
      </c>
      <c r="D128" s="488">
        <f>SUM(D129)</f>
        <v>0</v>
      </c>
      <c r="E128" s="488">
        <f>SUM(E129)</f>
        <v>0</v>
      </c>
      <c r="F128" s="488">
        <f>SUM(F129)</f>
        <v>0</v>
      </c>
      <c r="G128" s="488">
        <f>SUM(G129)</f>
        <v>0</v>
      </c>
      <c r="H128" s="479"/>
      <c r="I128" s="479"/>
    </row>
    <row r="129" spans="1:9" ht="12.75">
      <c r="A129" s="471"/>
      <c r="B129" s="486">
        <v>4123</v>
      </c>
      <c r="C129" s="486" t="s">
        <v>217</v>
      </c>
      <c r="D129" s="482"/>
      <c r="E129" s="482"/>
      <c r="F129" s="482"/>
      <c r="G129" s="482"/>
      <c r="H129" s="479"/>
      <c r="I129" s="479"/>
    </row>
    <row r="130" spans="1:9" ht="12.75">
      <c r="A130" s="471"/>
      <c r="B130" s="507">
        <v>42</v>
      </c>
      <c r="C130" s="507" t="s">
        <v>333</v>
      </c>
      <c r="D130" s="508">
        <f>SUM(D131,D133,D140,D142)</f>
        <v>435199.94000000006</v>
      </c>
      <c r="E130" s="508">
        <f>SUM(E131,E133,E140,E142)</f>
        <v>392594.07</v>
      </c>
      <c r="F130" s="508">
        <f>SUM(F131,F133,F140,F142)</f>
        <v>389899.86</v>
      </c>
      <c r="G130" s="508">
        <f>SUM(G131,G133,G140,G142)</f>
        <v>388090.41000000003</v>
      </c>
      <c r="H130" s="509">
        <f>G130/F130*100</f>
        <v>99.53591929989409</v>
      </c>
      <c r="I130" s="509" t="e">
        <f>#REF!/G130*100</f>
        <v>#REF!</v>
      </c>
    </row>
    <row r="131" spans="1:9" ht="12.75">
      <c r="A131" s="471"/>
      <c r="B131" s="487">
        <v>421</v>
      </c>
      <c r="C131" s="487" t="s">
        <v>242</v>
      </c>
      <c r="D131" s="488">
        <f>SUM(D132)</f>
        <v>243298.39</v>
      </c>
      <c r="E131" s="488">
        <f>SUM(E132)</f>
        <v>301015.33</v>
      </c>
      <c r="F131" s="488">
        <f>SUM(F132)</f>
        <v>320399.86</v>
      </c>
      <c r="G131" s="488">
        <f>SUM(G132)</f>
        <v>322990.25</v>
      </c>
      <c r="H131" s="479"/>
      <c r="I131" s="479"/>
    </row>
    <row r="132" spans="1:9" ht="12.75">
      <c r="A132" s="471"/>
      <c r="B132" s="486">
        <v>4212</v>
      </c>
      <c r="C132" s="486" t="s">
        <v>244</v>
      </c>
      <c r="D132" s="482">
        <v>243298.39</v>
      </c>
      <c r="E132" s="482">
        <v>301015.33</v>
      </c>
      <c r="F132" s="482">
        <v>320399.86</v>
      </c>
      <c r="G132" s="482">
        <v>322990.25</v>
      </c>
      <c r="H132" s="479"/>
      <c r="I132" s="479"/>
    </row>
    <row r="133" spans="1:9" ht="12.75">
      <c r="A133" s="471"/>
      <c r="B133" s="487">
        <v>422</v>
      </c>
      <c r="C133" s="487" t="s">
        <v>219</v>
      </c>
      <c r="D133" s="488">
        <f>SUM(D134:D139)</f>
        <v>191901.55000000002</v>
      </c>
      <c r="E133" s="488">
        <f>SUM(E134:E139)</f>
        <v>91578.73999999999</v>
      </c>
      <c r="F133" s="488">
        <f>SUM(F134:F139)</f>
        <v>69500</v>
      </c>
      <c r="G133" s="488">
        <f>SUM(G134:G139)</f>
        <v>65100.16</v>
      </c>
      <c r="H133" s="479"/>
      <c r="I133" s="479"/>
    </row>
    <row r="134" spans="1:9" ht="12.75">
      <c r="A134" s="471"/>
      <c r="B134" s="486">
        <v>4221</v>
      </c>
      <c r="C134" s="486" t="s">
        <v>221</v>
      </c>
      <c r="D134" s="482">
        <v>42012.98</v>
      </c>
      <c r="E134" s="482">
        <v>31853.47</v>
      </c>
      <c r="F134" s="482">
        <v>39000</v>
      </c>
      <c r="G134" s="482">
        <v>34359.91</v>
      </c>
      <c r="H134" s="479"/>
      <c r="I134" s="479"/>
    </row>
    <row r="135" spans="1:9" ht="12.75">
      <c r="A135" s="471"/>
      <c r="B135" s="486">
        <v>4222</v>
      </c>
      <c r="C135" s="486" t="s">
        <v>223</v>
      </c>
      <c r="D135" s="482">
        <v>938.35</v>
      </c>
      <c r="E135" s="482"/>
      <c r="F135" s="482">
        <v>500</v>
      </c>
      <c r="G135" s="482"/>
      <c r="H135" s="479"/>
      <c r="I135" s="479"/>
    </row>
    <row r="136" spans="1:9" ht="12.75">
      <c r="A136" s="471"/>
      <c r="B136" s="486">
        <v>4223</v>
      </c>
      <c r="C136" s="486" t="s">
        <v>334</v>
      </c>
      <c r="D136" s="482">
        <v>4300.35</v>
      </c>
      <c r="E136" s="482"/>
      <c r="F136" s="482">
        <v>1700</v>
      </c>
      <c r="G136" s="482">
        <v>1996.46</v>
      </c>
      <c r="H136" s="479"/>
      <c r="I136" s="479"/>
    </row>
    <row r="137" spans="1:9" ht="12.75">
      <c r="A137" s="471"/>
      <c r="B137" s="486">
        <v>4224</v>
      </c>
      <c r="C137" s="486" t="s">
        <v>225</v>
      </c>
      <c r="D137" s="482">
        <v>129739.17</v>
      </c>
      <c r="E137" s="482">
        <v>59725.27</v>
      </c>
      <c r="F137" s="482">
        <v>28000</v>
      </c>
      <c r="G137" s="482">
        <v>28487.79</v>
      </c>
      <c r="H137" s="479"/>
      <c r="I137" s="479"/>
    </row>
    <row r="138" spans="1:9" ht="12.75">
      <c r="A138" s="471"/>
      <c r="B138" s="486">
        <v>4225</v>
      </c>
      <c r="C138" s="486" t="s">
        <v>226</v>
      </c>
      <c r="D138" s="482"/>
      <c r="E138" s="482"/>
      <c r="F138" s="482">
        <v>300</v>
      </c>
      <c r="G138" s="482">
        <v>256</v>
      </c>
      <c r="H138" s="479"/>
      <c r="I138" s="479"/>
    </row>
    <row r="139" spans="1:9" ht="12.75">
      <c r="A139" s="471"/>
      <c r="B139" s="486">
        <v>4227</v>
      </c>
      <c r="C139" s="486" t="s">
        <v>227</v>
      </c>
      <c r="D139" s="482">
        <v>14910.7</v>
      </c>
      <c r="E139" s="482"/>
      <c r="F139" s="482"/>
      <c r="G139" s="482"/>
      <c r="H139" s="479"/>
      <c r="I139" s="479"/>
    </row>
    <row r="140" spans="1:9" ht="12.75">
      <c r="A140" s="471"/>
      <c r="B140" s="487">
        <v>423</v>
      </c>
      <c r="C140" s="487" t="s">
        <v>228</v>
      </c>
      <c r="D140" s="488">
        <f>D141</f>
        <v>0</v>
      </c>
      <c r="E140" s="488">
        <f>E141</f>
        <v>0</v>
      </c>
      <c r="F140" s="488">
        <f>F141</f>
        <v>0</v>
      </c>
      <c r="G140" s="488">
        <f>G141</f>
        <v>0</v>
      </c>
      <c r="H140" s="510"/>
      <c r="I140" s="510"/>
    </row>
    <row r="141" spans="1:9" ht="12.75">
      <c r="A141" s="471"/>
      <c r="B141" s="486">
        <v>4231</v>
      </c>
      <c r="C141" s="486" t="s">
        <v>228</v>
      </c>
      <c r="D141" s="482"/>
      <c r="E141" s="482"/>
      <c r="F141" s="482"/>
      <c r="G141" s="482"/>
      <c r="H141" s="479"/>
      <c r="I141" s="479"/>
    </row>
    <row r="142" spans="1:9" s="447" customFormat="1" ht="12.75">
      <c r="A142" s="471"/>
      <c r="B142" s="487">
        <v>426</v>
      </c>
      <c r="C142" s="487" t="s">
        <v>335</v>
      </c>
      <c r="D142" s="488">
        <f>D143</f>
        <v>0</v>
      </c>
      <c r="E142" s="488">
        <f>E143</f>
        <v>0</v>
      </c>
      <c r="F142" s="488">
        <f>F143</f>
        <v>0</v>
      </c>
      <c r="G142" s="488">
        <f>G143</f>
        <v>0</v>
      </c>
      <c r="H142" s="510"/>
      <c r="I142" s="510"/>
    </row>
    <row r="143" spans="1:9" ht="12.75">
      <c r="A143" s="471"/>
      <c r="B143" s="486">
        <v>4262</v>
      </c>
      <c r="C143" s="486" t="s">
        <v>230</v>
      </c>
      <c r="D143" s="482"/>
      <c r="E143" s="482"/>
      <c r="F143" s="482"/>
      <c r="G143" s="482"/>
      <c r="H143" s="479"/>
      <c r="I143" s="479"/>
    </row>
    <row r="144" spans="1:9" ht="12.75">
      <c r="A144" s="471"/>
      <c r="B144" s="507">
        <v>45</v>
      </c>
      <c r="C144" s="507" t="s">
        <v>234</v>
      </c>
      <c r="D144" s="508">
        <f>SUM(D145,D147)</f>
        <v>0</v>
      </c>
      <c r="E144" s="508">
        <f>SUM(E145,E147)</f>
        <v>0</v>
      </c>
      <c r="F144" s="508">
        <f>SUM(F145)</f>
        <v>0</v>
      </c>
      <c r="G144" s="508">
        <f>SUM(G145)</f>
        <v>0</v>
      </c>
      <c r="H144" s="509"/>
      <c r="I144" s="509" t="e">
        <f>#REF!/G144*100</f>
        <v>#REF!</v>
      </c>
    </row>
    <row r="145" spans="1:9" ht="12.75">
      <c r="A145" s="471"/>
      <c r="B145" s="487">
        <v>451</v>
      </c>
      <c r="C145" s="487" t="s">
        <v>242</v>
      </c>
      <c r="D145" s="488">
        <f>SUM(D146)</f>
        <v>0</v>
      </c>
      <c r="E145" s="488">
        <f>SUM(E146)</f>
        <v>0</v>
      </c>
      <c r="F145" s="488">
        <f>SUM(F146)</f>
        <v>0</v>
      </c>
      <c r="G145" s="488">
        <f>SUM(G146)</f>
        <v>0</v>
      </c>
      <c r="H145" s="479"/>
      <c r="I145" s="479"/>
    </row>
    <row r="146" spans="1:9" ht="12.75">
      <c r="A146" s="471"/>
      <c r="B146" s="486">
        <v>4511</v>
      </c>
      <c r="C146" s="486" t="s">
        <v>234</v>
      </c>
      <c r="D146" s="482"/>
      <c r="E146" s="482"/>
      <c r="F146" s="482"/>
      <c r="G146" s="482"/>
      <c r="H146" s="479"/>
      <c r="I146" s="479"/>
    </row>
    <row r="147" spans="1:9" s="447" customFormat="1" ht="12.75">
      <c r="A147" s="517"/>
      <c r="B147" s="487">
        <v>452</v>
      </c>
      <c r="C147" s="487" t="s">
        <v>237</v>
      </c>
      <c r="D147" s="488">
        <f>D148</f>
        <v>0</v>
      </c>
      <c r="E147" s="488">
        <f>E148</f>
        <v>0</v>
      </c>
      <c r="F147" s="488">
        <f>F148</f>
        <v>0</v>
      </c>
      <c r="G147" s="488">
        <f>G148</f>
        <v>0</v>
      </c>
      <c r="H147" s="510"/>
      <c r="I147" s="510"/>
    </row>
    <row r="148" spans="1:9" ht="12.75">
      <c r="A148" s="517"/>
      <c r="B148" s="486">
        <v>4521</v>
      </c>
      <c r="C148" s="486" t="s">
        <v>237</v>
      </c>
      <c r="D148" s="482"/>
      <c r="E148" s="482"/>
      <c r="F148" s="482"/>
      <c r="G148" s="482"/>
      <c r="H148" s="479"/>
      <c r="I148" s="479"/>
    </row>
    <row r="149" spans="1:9" ht="18.75">
      <c r="A149" s="736" t="s">
        <v>336</v>
      </c>
      <c r="B149" s="737"/>
      <c r="C149" s="738"/>
      <c r="D149" s="500">
        <f>D57+D124</f>
        <v>9418195.37</v>
      </c>
      <c r="E149" s="500">
        <f>E57+E124</f>
        <v>9115800.649999999</v>
      </c>
      <c r="F149" s="500">
        <f>F57+F124</f>
        <v>9982817.86</v>
      </c>
      <c r="G149" s="500">
        <f>G57+G124</f>
        <v>10014093.499999998</v>
      </c>
      <c r="H149" s="501">
        <f>G149/F149*100</f>
        <v>100.31329470735228</v>
      </c>
      <c r="I149" s="501" t="e">
        <f>#REF!/G149*100</f>
        <v>#REF!</v>
      </c>
    </row>
    <row r="151" spans="5:7" ht="12.75">
      <c r="E151" s="518"/>
      <c r="F151" s="518"/>
      <c r="G151" s="518"/>
    </row>
    <row r="152" ht="12.75">
      <c r="E152" s="451"/>
    </row>
    <row r="153" spans="1:8" s="449" customFormat="1" ht="12.75">
      <c r="A153" s="450"/>
      <c r="B153" s="451"/>
      <c r="C153" s="451"/>
      <c r="D153" s="451"/>
      <c r="E153" s="451"/>
      <c r="F153" s="451"/>
      <c r="G153" s="452"/>
      <c r="H153" s="453"/>
    </row>
    <row r="154" spans="1:8" s="449" customFormat="1" ht="12.75">
      <c r="A154" s="450"/>
      <c r="B154" s="451"/>
      <c r="C154" s="451"/>
      <c r="D154" s="451"/>
      <c r="E154" s="451"/>
      <c r="F154" s="451"/>
      <c r="G154" s="451"/>
      <c r="H154" s="453"/>
    </row>
    <row r="155" ht="12.75">
      <c r="E155" s="451"/>
    </row>
  </sheetData>
  <sheetProtection/>
  <mergeCells count="10">
    <mergeCell ref="A54:H54"/>
    <mergeCell ref="A56:C56"/>
    <mergeCell ref="A149:C149"/>
    <mergeCell ref="A2:H3"/>
    <mergeCell ref="A1:H1"/>
    <mergeCell ref="A4:H4"/>
    <mergeCell ref="B5:G5"/>
    <mergeCell ref="A7:H7"/>
    <mergeCell ref="A9:C9"/>
    <mergeCell ref="A51:C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6"/>
  <sheetViews>
    <sheetView tabSelected="1" zoomScaleSheetLayoutView="100" workbookViewId="0" topLeftCell="B50">
      <selection activeCell="N78" sqref="N78"/>
    </sheetView>
  </sheetViews>
  <sheetFormatPr defaultColWidth="9.140625" defaultRowHeight="15"/>
  <cols>
    <col min="1" max="1" width="7.00390625" style="234" bestFit="1" customWidth="1"/>
    <col min="2" max="2" width="8.421875" style="234" customWidth="1"/>
    <col min="3" max="3" width="5.28125" style="234" bestFit="1" customWidth="1"/>
    <col min="4" max="4" width="58.140625" style="234" customWidth="1"/>
    <col min="5" max="5" width="21.28125" style="234" customWidth="1"/>
    <col min="6" max="6" width="19.421875" style="249" customWidth="1"/>
    <col min="7" max="7" width="17.8515625" style="234" customWidth="1"/>
    <col min="8" max="8" width="18.421875" style="234" customWidth="1"/>
    <col min="9" max="9" width="9.421875" style="234" hidden="1" customWidth="1"/>
    <col min="10" max="10" width="8.8515625" style="234" hidden="1" customWidth="1"/>
    <col min="11" max="11" width="7.8515625" style="234" hidden="1" customWidth="1"/>
    <col min="12" max="15" width="15.140625" style="234" customWidth="1"/>
    <col min="16" max="16" width="16.7109375" style="234" hidden="1" customWidth="1"/>
    <col min="17" max="17" width="16.421875" style="234" hidden="1" customWidth="1"/>
    <col min="18" max="18" width="12.57421875" style="234" hidden="1" customWidth="1"/>
    <col min="19" max="20" width="10.7109375" style="234" bestFit="1" customWidth="1"/>
    <col min="21" max="21" width="10.28125" style="234" bestFit="1" customWidth="1"/>
    <col min="22" max="22" width="11.8515625" style="234" bestFit="1" customWidth="1"/>
    <col min="23" max="23" width="15.421875" style="234" customWidth="1"/>
    <col min="24" max="24" width="9.140625" style="234" customWidth="1"/>
    <col min="25" max="16384" width="9.140625" style="234" customWidth="1"/>
  </cols>
  <sheetData>
    <row r="1" spans="1:11" ht="31.5" customHeight="1">
      <c r="A1" s="720" t="s">
        <v>1</v>
      </c>
      <c r="B1" s="720"/>
      <c r="C1" s="720"/>
      <c r="D1" s="720"/>
      <c r="E1" s="720"/>
      <c r="F1" s="720"/>
      <c r="G1" s="720"/>
      <c r="H1" s="720"/>
      <c r="I1" s="720"/>
      <c r="J1" s="720"/>
      <c r="K1" s="294"/>
    </row>
    <row r="2" spans="1:11" ht="31.5" customHeight="1">
      <c r="A2" s="721" t="s">
        <v>302</v>
      </c>
      <c r="B2" s="721"/>
      <c r="C2" s="721"/>
      <c r="D2" s="721"/>
      <c r="E2" s="721"/>
      <c r="F2" s="721"/>
      <c r="G2" s="721"/>
      <c r="H2" s="721"/>
      <c r="I2" s="721"/>
      <c r="J2" s="721"/>
      <c r="K2" s="294"/>
    </row>
    <row r="3" spans="1:11" ht="31.5" customHeight="1">
      <c r="A3" s="721" t="s">
        <v>337</v>
      </c>
      <c r="B3" s="721"/>
      <c r="C3" s="721"/>
      <c r="D3" s="721"/>
      <c r="E3" s="721"/>
      <c r="F3" s="721"/>
      <c r="G3" s="721"/>
      <c r="H3" s="721"/>
      <c r="I3" s="721"/>
      <c r="J3" s="721"/>
      <c r="K3" s="294"/>
    </row>
    <row r="4" spans="1:18" s="235" customFormat="1" ht="15">
      <c r="A4" s="243"/>
      <c r="B4" s="250"/>
      <c r="C4" s="250"/>
      <c r="D4" s="250"/>
      <c r="E4" s="250"/>
      <c r="F4" s="251"/>
      <c r="G4" s="250"/>
      <c r="H4" s="250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18" s="236" customFormat="1" ht="15.75" customHeight="1">
      <c r="A5" s="714" t="s">
        <v>117</v>
      </c>
      <c r="B5" s="715"/>
      <c r="C5" s="715"/>
      <c r="D5" s="715"/>
      <c r="E5" s="715"/>
      <c r="F5" s="715"/>
      <c r="G5" s="715"/>
      <c r="H5" s="715"/>
      <c r="I5" s="715"/>
      <c r="J5" s="715"/>
      <c r="K5" s="246"/>
      <c r="L5" s="246"/>
      <c r="M5" s="246"/>
      <c r="N5" s="246"/>
      <c r="O5" s="246"/>
      <c r="P5" s="246"/>
      <c r="Q5" s="246"/>
      <c r="R5" s="246"/>
    </row>
    <row r="6" spans="1:18" s="235" customFormat="1" ht="60">
      <c r="A6" s="201" t="s">
        <v>33</v>
      </c>
      <c r="B6" s="201" t="s">
        <v>34</v>
      </c>
      <c r="C6" s="252" t="s">
        <v>35</v>
      </c>
      <c r="D6" s="253" t="s">
        <v>36</v>
      </c>
      <c r="E6" s="254" t="s">
        <v>37</v>
      </c>
      <c r="F6" s="255" t="s">
        <v>38</v>
      </c>
      <c r="G6" s="134" t="s">
        <v>39</v>
      </c>
      <c r="H6" s="256" t="s">
        <v>40</v>
      </c>
      <c r="I6" s="295" t="s">
        <v>41</v>
      </c>
      <c r="J6" s="295" t="s">
        <v>41</v>
      </c>
      <c r="K6" s="295" t="s">
        <v>41</v>
      </c>
      <c r="L6" s="296"/>
      <c r="M6" s="234"/>
      <c r="N6" s="234"/>
      <c r="O6" s="234"/>
      <c r="P6" s="234"/>
      <c r="Q6" s="234"/>
      <c r="R6" s="234"/>
    </row>
    <row r="7" spans="1:18" s="235" customFormat="1" ht="15">
      <c r="A7" s="716">
        <v>1</v>
      </c>
      <c r="B7" s="716"/>
      <c r="C7" s="716"/>
      <c r="D7" s="716"/>
      <c r="E7" s="257">
        <v>2</v>
      </c>
      <c r="F7" s="258">
        <v>3</v>
      </c>
      <c r="G7" s="259">
        <v>4</v>
      </c>
      <c r="H7" s="259">
        <v>5</v>
      </c>
      <c r="I7" s="297" t="s">
        <v>42</v>
      </c>
      <c r="J7" s="298" t="s">
        <v>310</v>
      </c>
      <c r="K7" s="298" t="s">
        <v>311</v>
      </c>
      <c r="L7" s="234"/>
      <c r="M7" s="234"/>
      <c r="N7" s="234"/>
      <c r="O7" s="234"/>
      <c r="P7" s="234"/>
      <c r="Q7" s="234"/>
      <c r="R7" s="234"/>
    </row>
    <row r="8" spans="1:18" s="235" customFormat="1" ht="15">
      <c r="A8" s="260" t="s">
        <v>121</v>
      </c>
      <c r="B8" s="260"/>
      <c r="C8" s="261"/>
      <c r="D8" s="262" t="s">
        <v>122</v>
      </c>
      <c r="E8" s="263">
        <f>E9+E21+E54+E60+E64+E67</f>
        <v>6742143.01</v>
      </c>
      <c r="F8" s="263">
        <f>F9+F21+F54+F60+F64+F67</f>
        <v>6470236.91</v>
      </c>
      <c r="G8" s="263">
        <f>G9+G21+G54+G60+G64+G67</f>
        <v>7043000</v>
      </c>
      <c r="H8" s="263">
        <f>H9+H21+H54+H60+H67</f>
        <v>7048834.22</v>
      </c>
      <c r="I8" s="299">
        <f>SUM(H8/E8*100)</f>
        <v>104.54886835751056</v>
      </c>
      <c r="J8" s="300">
        <f aca="true" t="shared" si="0" ref="J8:J17">SUM(H8/G8*100)</f>
        <v>100.08283714326281</v>
      </c>
      <c r="K8" s="300">
        <f aca="true" t="shared" si="1" ref="K8:K17">SUM(H8/E8*100)</f>
        <v>104.54886835751056</v>
      </c>
      <c r="L8" s="234"/>
      <c r="M8" s="234"/>
      <c r="N8" s="234"/>
      <c r="O8" s="234"/>
      <c r="P8" s="234"/>
      <c r="Q8" s="234"/>
      <c r="R8" s="234"/>
    </row>
    <row r="9" spans="1:18" s="235" customFormat="1" ht="15">
      <c r="A9" s="264"/>
      <c r="B9" s="265">
        <v>31</v>
      </c>
      <c r="C9" s="266"/>
      <c r="D9" s="267" t="s">
        <v>123</v>
      </c>
      <c r="E9" s="268">
        <f>E10+E15+E17</f>
        <v>3661654.1799999997</v>
      </c>
      <c r="F9" s="268">
        <f>F10+F15+F17</f>
        <v>4032649.8099999996</v>
      </c>
      <c r="G9" s="268">
        <f>G10+G15+G17</f>
        <v>4808227</v>
      </c>
      <c r="H9" s="268">
        <f>H10+H15+H17</f>
        <v>4792113.819999999</v>
      </c>
      <c r="I9" s="301">
        <f>SUM(H9/E9*100)</f>
        <v>130.87292203000993</v>
      </c>
      <c r="J9" s="300">
        <f t="shared" si="0"/>
        <v>99.6648831263582</v>
      </c>
      <c r="K9" s="300">
        <f t="shared" si="1"/>
        <v>130.87292203000993</v>
      </c>
      <c r="L9" s="234"/>
      <c r="M9" s="234"/>
      <c r="N9" s="234"/>
      <c r="O9" s="234"/>
      <c r="P9" s="234"/>
      <c r="Q9" s="234"/>
      <c r="R9" s="234"/>
    </row>
    <row r="10" spans="1:18" s="236" customFormat="1" ht="15">
      <c r="A10" s="264"/>
      <c r="B10" s="269">
        <v>311</v>
      </c>
      <c r="C10" s="89"/>
      <c r="D10" s="264" t="s">
        <v>124</v>
      </c>
      <c r="E10" s="270">
        <f>SUM(E11:E14)</f>
        <v>2225712.42</v>
      </c>
      <c r="F10" s="270">
        <f>SUM(F11:F14)</f>
        <v>2665604.88</v>
      </c>
      <c r="G10" s="270">
        <f>SUM(G11:G14)</f>
        <v>4024175</v>
      </c>
      <c r="H10" s="270">
        <f>H11+H12+H13+H14</f>
        <v>3972805.78</v>
      </c>
      <c r="I10" s="302"/>
      <c r="J10" s="300">
        <f t="shared" si="0"/>
        <v>98.72348444091024</v>
      </c>
      <c r="K10" s="300">
        <f t="shared" si="1"/>
        <v>178.49591637719305</v>
      </c>
      <c r="L10" s="246"/>
      <c r="M10" s="246"/>
      <c r="N10" s="246"/>
      <c r="O10" s="246"/>
      <c r="P10" s="246"/>
      <c r="Q10" s="246"/>
      <c r="R10" s="246"/>
    </row>
    <row r="11" spans="1:18" s="237" customFormat="1" ht="15">
      <c r="A11" s="89"/>
      <c r="B11" s="271">
        <v>3111</v>
      </c>
      <c r="C11" s="89"/>
      <c r="D11" s="89" t="s">
        <v>125</v>
      </c>
      <c r="E11" s="272">
        <v>1935137.08</v>
      </c>
      <c r="F11" s="272">
        <v>2665604.88</v>
      </c>
      <c r="G11" s="272">
        <v>3579175</v>
      </c>
      <c r="H11" s="272">
        <v>3537065.52</v>
      </c>
      <c r="I11" s="302"/>
      <c r="J11" s="300">
        <f t="shared" si="0"/>
        <v>98.82348641795944</v>
      </c>
      <c r="K11" s="300">
        <f t="shared" si="1"/>
        <v>182.78113507080334</v>
      </c>
      <c r="L11" s="303"/>
      <c r="M11" s="303"/>
      <c r="N11" s="303"/>
      <c r="O11" s="303"/>
      <c r="P11" s="303"/>
      <c r="Q11" s="303"/>
      <c r="R11" s="303"/>
    </row>
    <row r="12" spans="1:18" s="237" customFormat="1" ht="15">
      <c r="A12" s="89"/>
      <c r="B12" s="271" t="s">
        <v>126</v>
      </c>
      <c r="C12" s="89"/>
      <c r="D12" s="89" t="s">
        <v>127</v>
      </c>
      <c r="E12" s="272"/>
      <c r="F12" s="272"/>
      <c r="G12" s="272"/>
      <c r="H12" s="272"/>
      <c r="I12" s="302"/>
      <c r="J12" s="300" t="e">
        <f t="shared" si="0"/>
        <v>#DIV/0!</v>
      </c>
      <c r="K12" s="300" t="e">
        <f t="shared" si="1"/>
        <v>#DIV/0!</v>
      </c>
      <c r="L12" s="303"/>
      <c r="M12" s="303"/>
      <c r="N12" s="303"/>
      <c r="O12" s="303"/>
      <c r="P12" s="303"/>
      <c r="Q12" s="303"/>
      <c r="R12" s="303"/>
    </row>
    <row r="13" spans="1:18" s="237" customFormat="1" ht="15">
      <c r="A13" s="89"/>
      <c r="B13" s="271" t="s">
        <v>128</v>
      </c>
      <c r="C13" s="89"/>
      <c r="D13" s="89" t="s">
        <v>129</v>
      </c>
      <c r="E13" s="272"/>
      <c r="F13" s="272"/>
      <c r="G13" s="272">
        <v>55000</v>
      </c>
      <c r="H13" s="272">
        <v>48787.34</v>
      </c>
      <c r="I13" s="304"/>
      <c r="J13" s="300">
        <f t="shared" si="0"/>
        <v>88.70425454545455</v>
      </c>
      <c r="K13" s="300" t="e">
        <f t="shared" si="1"/>
        <v>#DIV/0!</v>
      </c>
      <c r="L13" s="303"/>
      <c r="M13" s="303"/>
      <c r="N13" s="303"/>
      <c r="O13" s="303"/>
      <c r="P13" s="303"/>
      <c r="Q13" s="303"/>
      <c r="R13" s="303"/>
    </row>
    <row r="14" spans="1:18" s="237" customFormat="1" ht="15">
      <c r="A14" s="89"/>
      <c r="B14" s="271" t="s">
        <v>130</v>
      </c>
      <c r="C14" s="89"/>
      <c r="D14" s="89" t="s">
        <v>131</v>
      </c>
      <c r="E14" s="272">
        <v>290575.34</v>
      </c>
      <c r="F14" s="272"/>
      <c r="G14" s="272">
        <v>390000</v>
      </c>
      <c r="H14" s="272">
        <v>386952.92</v>
      </c>
      <c r="I14" s="304"/>
      <c r="J14" s="300">
        <f t="shared" si="0"/>
        <v>99.21869743589743</v>
      </c>
      <c r="K14" s="300">
        <f t="shared" si="1"/>
        <v>133.16784555771318</v>
      </c>
      <c r="L14" s="303"/>
      <c r="M14" s="303"/>
      <c r="N14" s="303"/>
      <c r="O14" s="303"/>
      <c r="P14" s="303"/>
      <c r="Q14" s="303"/>
      <c r="R14" s="303"/>
    </row>
    <row r="15" spans="1:18" s="238" customFormat="1" ht="15">
      <c r="A15" s="264"/>
      <c r="B15" s="269" t="s">
        <v>132</v>
      </c>
      <c r="C15" s="264"/>
      <c r="D15" s="264" t="s">
        <v>133</v>
      </c>
      <c r="E15" s="270">
        <f>SUM(E16)</f>
        <v>184786.78</v>
      </c>
      <c r="F15" s="270">
        <f>SUM(F16)</f>
        <v>172539.65</v>
      </c>
      <c r="G15" s="270">
        <f>SUM(G16)</f>
        <v>208000</v>
      </c>
      <c r="H15" s="270">
        <f>SUM(H16)</f>
        <v>228189.44</v>
      </c>
      <c r="I15" s="304"/>
      <c r="J15" s="300">
        <f t="shared" si="0"/>
        <v>109.70646153846153</v>
      </c>
      <c r="K15" s="300">
        <f t="shared" si="1"/>
        <v>123.48796813278527</v>
      </c>
      <c r="L15" s="305"/>
      <c r="M15" s="305"/>
      <c r="N15" s="305"/>
      <c r="O15" s="305"/>
      <c r="P15" s="305"/>
      <c r="Q15" s="305"/>
      <c r="R15" s="305"/>
    </row>
    <row r="16" spans="1:18" s="237" customFormat="1" ht="15">
      <c r="A16" s="89"/>
      <c r="B16" s="271" t="s">
        <v>134</v>
      </c>
      <c r="C16" s="89"/>
      <c r="D16" s="89" t="s">
        <v>133</v>
      </c>
      <c r="E16" s="272">
        <v>184786.78</v>
      </c>
      <c r="F16" s="272">
        <v>172539.65</v>
      </c>
      <c r="G16" s="272">
        <v>208000</v>
      </c>
      <c r="H16" s="272">
        <v>228189.44</v>
      </c>
      <c r="I16" s="304"/>
      <c r="J16" s="300">
        <f t="shared" si="0"/>
        <v>109.70646153846153</v>
      </c>
      <c r="K16" s="300">
        <f t="shared" si="1"/>
        <v>123.48796813278527</v>
      </c>
      <c r="L16" s="303"/>
      <c r="M16" s="303"/>
      <c r="N16" s="303"/>
      <c r="O16" s="303"/>
      <c r="P16" s="303"/>
      <c r="Q16" s="303"/>
      <c r="R16" s="303"/>
    </row>
    <row r="17" spans="1:18" s="237" customFormat="1" ht="15">
      <c r="A17" s="264"/>
      <c r="B17" s="273">
        <v>313</v>
      </c>
      <c r="C17" s="264"/>
      <c r="D17" s="264" t="s">
        <v>135</v>
      </c>
      <c r="E17" s="35">
        <f>E18+E19+E20</f>
        <v>1251154.98</v>
      </c>
      <c r="F17" s="35">
        <f>F18+F19+F20</f>
        <v>1194505.28</v>
      </c>
      <c r="G17" s="35">
        <f>G18+G19+G20</f>
        <v>576052</v>
      </c>
      <c r="H17" s="35">
        <f>H18+H19+H20</f>
        <v>591118.6</v>
      </c>
      <c r="I17" s="302"/>
      <c r="J17" s="300">
        <f t="shared" si="0"/>
        <v>102.6154930457667</v>
      </c>
      <c r="K17" s="300">
        <f t="shared" si="1"/>
        <v>47.24583360568169</v>
      </c>
      <c r="L17" s="303"/>
      <c r="M17" s="303"/>
      <c r="N17" s="303"/>
      <c r="O17" s="303"/>
      <c r="P17" s="303"/>
      <c r="Q17" s="303"/>
      <c r="R17" s="303"/>
    </row>
    <row r="18" spans="1:18" s="237" customFormat="1" ht="15">
      <c r="A18" s="264"/>
      <c r="B18" s="274" t="s">
        <v>260</v>
      </c>
      <c r="C18" s="89"/>
      <c r="D18" s="89" t="s">
        <v>261</v>
      </c>
      <c r="E18" s="37">
        <v>730718.73</v>
      </c>
      <c r="F18" s="37">
        <v>663614.04</v>
      </c>
      <c r="G18" s="37"/>
      <c r="H18" s="37"/>
      <c r="I18" s="302"/>
      <c r="J18" s="300"/>
      <c r="K18" s="300"/>
      <c r="L18" s="303"/>
      <c r="M18" s="303"/>
      <c r="N18" s="303"/>
      <c r="O18" s="303"/>
      <c r="P18" s="303"/>
      <c r="Q18" s="303"/>
      <c r="R18" s="303"/>
    </row>
    <row r="19" spans="1:18" s="237" customFormat="1" ht="15">
      <c r="A19" s="264"/>
      <c r="B19" s="274">
        <v>3132</v>
      </c>
      <c r="C19" s="89"/>
      <c r="D19" s="89" t="s">
        <v>136</v>
      </c>
      <c r="E19" s="272">
        <v>520436.25</v>
      </c>
      <c r="F19" s="272">
        <v>530891.24</v>
      </c>
      <c r="G19" s="37">
        <v>576000</v>
      </c>
      <c r="H19" s="272">
        <v>591048.44</v>
      </c>
      <c r="I19" s="302"/>
      <c r="J19" s="300"/>
      <c r="K19" s="300"/>
      <c r="L19" s="303"/>
      <c r="M19" s="303"/>
      <c r="N19" s="303"/>
      <c r="O19" s="303"/>
      <c r="P19" s="303"/>
      <c r="Q19" s="303"/>
      <c r="R19" s="303"/>
    </row>
    <row r="20" spans="1:18" s="235" customFormat="1" ht="15">
      <c r="A20" s="89"/>
      <c r="B20" s="274" t="s">
        <v>338</v>
      </c>
      <c r="C20" s="89"/>
      <c r="D20" s="89" t="s">
        <v>339</v>
      </c>
      <c r="E20" s="272"/>
      <c r="F20" s="272">
        <v>0</v>
      </c>
      <c r="G20" s="37">
        <v>52</v>
      </c>
      <c r="H20" s="272">
        <v>70.16</v>
      </c>
      <c r="I20" s="302"/>
      <c r="J20" s="300">
        <f aca="true" t="shared" si="2" ref="J20:J56">SUM(H20/G20*100)</f>
        <v>134.92307692307693</v>
      </c>
      <c r="K20" s="300" t="e">
        <f aca="true" t="shared" si="3" ref="K20:K56">SUM(H20/E20*100)</f>
        <v>#DIV/0!</v>
      </c>
      <c r="L20" s="234"/>
      <c r="M20" s="234"/>
      <c r="N20" s="234"/>
      <c r="O20" s="234"/>
      <c r="P20" s="234"/>
      <c r="Q20" s="234"/>
      <c r="R20" s="234"/>
    </row>
    <row r="21" spans="1:18" s="235" customFormat="1" ht="15">
      <c r="A21" s="264"/>
      <c r="B21" s="265">
        <v>32</v>
      </c>
      <c r="C21" s="266"/>
      <c r="D21" s="267" t="s">
        <v>137</v>
      </c>
      <c r="E21" s="268">
        <f>E22+E27+E34+E44+E46</f>
        <v>3048283.4000000004</v>
      </c>
      <c r="F21" s="268">
        <f>F22+F27+F34+F44+F46</f>
        <v>2403079.17</v>
      </c>
      <c r="G21" s="268">
        <f>G22+G27+G34+G44+G46</f>
        <v>2213773</v>
      </c>
      <c r="H21" s="268">
        <f>H22+H27+H34+H44+H46</f>
        <v>2238178.3000000003</v>
      </c>
      <c r="I21" s="301">
        <f>SUM(H21/E21*100)</f>
        <v>73.42421967721243</v>
      </c>
      <c r="J21" s="300">
        <f t="shared" si="2"/>
        <v>101.1024301046223</v>
      </c>
      <c r="K21" s="300">
        <f t="shared" si="3"/>
        <v>73.42421967721243</v>
      </c>
      <c r="L21" s="234"/>
      <c r="M21" s="234"/>
      <c r="N21" s="234"/>
      <c r="O21" s="234"/>
      <c r="P21" s="234"/>
      <c r="Q21" s="234"/>
      <c r="R21" s="234"/>
    </row>
    <row r="22" spans="1:18" s="235" customFormat="1" ht="15">
      <c r="A22" s="264"/>
      <c r="B22" s="269">
        <v>321</v>
      </c>
      <c r="C22" s="264"/>
      <c r="D22" s="264" t="s">
        <v>138</v>
      </c>
      <c r="E22" s="270">
        <f>SUM(E23:E26)</f>
        <v>198721.46</v>
      </c>
      <c r="F22" s="270">
        <f>SUM(F23:F26)</f>
        <v>217001.79</v>
      </c>
      <c r="G22" s="270">
        <f>SUM(G23:G26)</f>
        <v>165900</v>
      </c>
      <c r="H22" s="270">
        <f>SUM(H23:H26)</f>
        <v>170643.1</v>
      </c>
      <c r="I22" s="302"/>
      <c r="J22" s="300">
        <f t="shared" si="2"/>
        <v>102.85901145268235</v>
      </c>
      <c r="K22" s="300">
        <f t="shared" si="3"/>
        <v>85.87049430896894</v>
      </c>
      <c r="L22" s="234"/>
      <c r="M22" s="234"/>
      <c r="N22" s="234"/>
      <c r="O22" s="234"/>
      <c r="P22" s="234"/>
      <c r="Q22" s="234"/>
      <c r="R22" s="234"/>
    </row>
    <row r="23" spans="1:18" s="239" customFormat="1" ht="15">
      <c r="A23" s="89"/>
      <c r="B23" s="271" t="s">
        <v>139</v>
      </c>
      <c r="C23" s="89"/>
      <c r="D23" s="89" t="s">
        <v>140</v>
      </c>
      <c r="E23" s="272">
        <v>21724.66</v>
      </c>
      <c r="F23" s="272">
        <v>9290.6</v>
      </c>
      <c r="G23" s="272">
        <v>6800</v>
      </c>
      <c r="H23" s="272">
        <v>8921.92</v>
      </c>
      <c r="I23" s="302"/>
      <c r="J23" s="300">
        <f t="shared" si="2"/>
        <v>131.20470588235293</v>
      </c>
      <c r="K23" s="300">
        <f t="shared" si="3"/>
        <v>41.06816861575739</v>
      </c>
      <c r="L23" s="306"/>
      <c r="M23" s="306"/>
      <c r="N23" s="306"/>
      <c r="O23" s="306"/>
      <c r="P23" s="306"/>
      <c r="Q23" s="306"/>
      <c r="R23" s="306"/>
    </row>
    <row r="24" spans="1:18" s="235" customFormat="1" ht="15">
      <c r="A24" s="89"/>
      <c r="B24" s="271" t="s">
        <v>141</v>
      </c>
      <c r="C24" s="89"/>
      <c r="D24" s="275" t="s">
        <v>142</v>
      </c>
      <c r="E24" s="272">
        <v>166434.96</v>
      </c>
      <c r="F24" s="272">
        <v>199084.21</v>
      </c>
      <c r="G24" s="272">
        <v>149000</v>
      </c>
      <c r="H24" s="272">
        <v>151468.78</v>
      </c>
      <c r="I24" s="302"/>
      <c r="J24" s="300">
        <f t="shared" si="2"/>
        <v>101.65689932885907</v>
      </c>
      <c r="K24" s="300">
        <f t="shared" si="3"/>
        <v>91.00779067090232</v>
      </c>
      <c r="L24" s="307"/>
      <c r="M24" s="307"/>
      <c r="N24" s="234"/>
      <c r="O24" s="234"/>
      <c r="P24" s="234"/>
      <c r="Q24" s="234"/>
      <c r="R24" s="234"/>
    </row>
    <row r="25" spans="1:18" s="235" customFormat="1" ht="15">
      <c r="A25" s="89"/>
      <c r="B25" s="271" t="s">
        <v>143</v>
      </c>
      <c r="C25" s="89"/>
      <c r="D25" s="275" t="s">
        <v>144</v>
      </c>
      <c r="E25" s="272">
        <v>10561.84</v>
      </c>
      <c r="F25" s="272">
        <v>8626.98</v>
      </c>
      <c r="G25" s="272">
        <v>10100</v>
      </c>
      <c r="H25" s="272">
        <v>10252.4</v>
      </c>
      <c r="I25" s="302"/>
      <c r="J25" s="300">
        <f t="shared" si="2"/>
        <v>101.50891089108912</v>
      </c>
      <c r="K25" s="300">
        <f t="shared" si="3"/>
        <v>97.07020746385099</v>
      </c>
      <c r="L25" s="234"/>
      <c r="M25" s="234"/>
      <c r="N25" s="234"/>
      <c r="O25" s="234"/>
      <c r="P25" s="234"/>
      <c r="Q25" s="234"/>
      <c r="R25" s="234"/>
    </row>
    <row r="26" spans="1:18" s="235" customFormat="1" ht="15">
      <c r="A26" s="89"/>
      <c r="B26" s="271" t="s">
        <v>145</v>
      </c>
      <c r="C26" s="89"/>
      <c r="D26" s="275" t="s">
        <v>146</v>
      </c>
      <c r="E26" s="272"/>
      <c r="F26" s="272"/>
      <c r="G26" s="272"/>
      <c r="H26" s="272"/>
      <c r="I26" s="302"/>
      <c r="J26" s="300" t="e">
        <f t="shared" si="2"/>
        <v>#DIV/0!</v>
      </c>
      <c r="K26" s="300" t="e">
        <f t="shared" si="3"/>
        <v>#DIV/0!</v>
      </c>
      <c r="L26" s="234"/>
      <c r="M26" s="234"/>
      <c r="N26" s="234"/>
      <c r="O26" s="234"/>
      <c r="P26" s="234"/>
      <c r="Q26" s="234"/>
      <c r="R26" s="234"/>
    </row>
    <row r="27" spans="1:18" s="236" customFormat="1" ht="15">
      <c r="A27" s="264"/>
      <c r="B27" s="269" t="s">
        <v>147</v>
      </c>
      <c r="C27" s="264"/>
      <c r="D27" s="276" t="s">
        <v>148</v>
      </c>
      <c r="E27" s="270">
        <f>E28+E29+E30+E31+E32+E33</f>
        <v>2589302.0300000003</v>
      </c>
      <c r="F27" s="270">
        <f>SUM(F28:F33)</f>
        <v>1938175.0599999998</v>
      </c>
      <c r="G27" s="270">
        <f>SUM(G28:G33)</f>
        <v>1769873</v>
      </c>
      <c r="H27" s="270">
        <f>SUM(H28:H33)</f>
        <v>1777903.8599999999</v>
      </c>
      <c r="I27" s="302"/>
      <c r="J27" s="300">
        <f t="shared" si="2"/>
        <v>100.45375346140655</v>
      </c>
      <c r="K27" s="300">
        <f t="shared" si="3"/>
        <v>68.66344054888026</v>
      </c>
      <c r="L27" s="246"/>
      <c r="M27" s="246"/>
      <c r="N27" s="246"/>
      <c r="O27" s="246"/>
      <c r="P27" s="246"/>
      <c r="Q27" s="246"/>
      <c r="R27" s="246"/>
    </row>
    <row r="28" spans="1:18" s="236" customFormat="1" ht="15">
      <c r="A28" s="264"/>
      <c r="B28" s="271" t="s">
        <v>149</v>
      </c>
      <c r="C28" s="264"/>
      <c r="D28" s="89" t="s">
        <v>150</v>
      </c>
      <c r="E28" s="272">
        <v>70778.33</v>
      </c>
      <c r="F28" s="272">
        <v>46452.98</v>
      </c>
      <c r="G28" s="272">
        <v>69925</v>
      </c>
      <c r="H28" s="272">
        <v>69196.96</v>
      </c>
      <c r="I28" s="302"/>
      <c r="J28" s="300">
        <f t="shared" si="2"/>
        <v>98.95882731498034</v>
      </c>
      <c r="K28" s="300">
        <f t="shared" si="3"/>
        <v>97.76574270684263</v>
      </c>
      <c r="L28" s="246"/>
      <c r="M28" s="246"/>
      <c r="N28" s="246"/>
      <c r="O28" s="246"/>
      <c r="P28" s="246"/>
      <c r="Q28" s="246"/>
      <c r="R28" s="246"/>
    </row>
    <row r="29" spans="1:18" s="236" customFormat="1" ht="15">
      <c r="A29" s="264"/>
      <c r="B29" s="271" t="s">
        <v>151</v>
      </c>
      <c r="C29" s="264"/>
      <c r="D29" s="89" t="s">
        <v>152</v>
      </c>
      <c r="E29" s="272">
        <v>2326763.72</v>
      </c>
      <c r="F29" s="272">
        <v>1741745.3</v>
      </c>
      <c r="G29" s="272">
        <v>1573743.17</v>
      </c>
      <c r="H29" s="272">
        <v>1598119.91</v>
      </c>
      <c r="I29" s="302"/>
      <c r="J29" s="300">
        <f t="shared" si="2"/>
        <v>101.5489655786719</v>
      </c>
      <c r="K29" s="300">
        <f t="shared" si="3"/>
        <v>68.68423709133646</v>
      </c>
      <c r="L29" s="246"/>
      <c r="M29" s="246"/>
      <c r="N29" s="246"/>
      <c r="O29" s="246"/>
      <c r="P29" s="246"/>
      <c r="Q29" s="246"/>
      <c r="R29" s="246"/>
    </row>
    <row r="30" spans="1:18" s="236" customFormat="1" ht="15">
      <c r="A30" s="264"/>
      <c r="B30" s="271" t="s">
        <v>153</v>
      </c>
      <c r="C30" s="264"/>
      <c r="D30" s="89" t="s">
        <v>154</v>
      </c>
      <c r="E30" s="272">
        <v>176322.12</v>
      </c>
      <c r="F30" s="272">
        <v>123432.22</v>
      </c>
      <c r="G30" s="272">
        <v>96966</v>
      </c>
      <c r="H30" s="272">
        <v>88026.45</v>
      </c>
      <c r="I30" s="302"/>
      <c r="J30" s="300">
        <f t="shared" si="2"/>
        <v>90.78073757812017</v>
      </c>
      <c r="K30" s="300">
        <f t="shared" si="3"/>
        <v>49.923656770914505</v>
      </c>
      <c r="L30" s="246"/>
      <c r="M30" s="246"/>
      <c r="N30" s="246"/>
      <c r="O30" s="246"/>
      <c r="P30" s="246"/>
      <c r="Q30" s="246"/>
      <c r="R30" s="246"/>
    </row>
    <row r="31" spans="1:18" s="236" customFormat="1" ht="15">
      <c r="A31" s="264"/>
      <c r="B31" s="271" t="s">
        <v>155</v>
      </c>
      <c r="C31" s="264"/>
      <c r="D31" s="275" t="s">
        <v>156</v>
      </c>
      <c r="E31" s="272">
        <v>829.11</v>
      </c>
      <c r="F31" s="272">
        <v>6636.14</v>
      </c>
      <c r="G31" s="272">
        <v>5238.83</v>
      </c>
      <c r="H31" s="272">
        <v>2911.22</v>
      </c>
      <c r="I31" s="302"/>
      <c r="J31" s="300">
        <f t="shared" si="2"/>
        <v>55.570041402374194</v>
      </c>
      <c r="K31" s="300">
        <f t="shared" si="3"/>
        <v>351.1259060920746</v>
      </c>
      <c r="L31" s="246"/>
      <c r="M31" s="246"/>
      <c r="N31" s="246"/>
      <c r="O31" s="246"/>
      <c r="P31" s="246"/>
      <c r="Q31" s="246"/>
      <c r="R31" s="246"/>
    </row>
    <row r="32" spans="1:18" s="236" customFormat="1" ht="15">
      <c r="A32" s="264"/>
      <c r="B32" s="271" t="s">
        <v>157</v>
      </c>
      <c r="C32" s="264"/>
      <c r="D32" s="275" t="s">
        <v>158</v>
      </c>
      <c r="E32" s="272">
        <v>10918.71</v>
      </c>
      <c r="F32" s="272">
        <v>13272.28</v>
      </c>
      <c r="G32" s="272">
        <v>13000</v>
      </c>
      <c r="H32" s="272">
        <v>9414.24</v>
      </c>
      <c r="I32" s="302"/>
      <c r="J32" s="300">
        <f t="shared" si="2"/>
        <v>72.41723076923077</v>
      </c>
      <c r="K32" s="300">
        <f t="shared" si="3"/>
        <v>86.22117447940279</v>
      </c>
      <c r="L32" s="246"/>
      <c r="M32" s="246"/>
      <c r="N32" s="246"/>
      <c r="O32" s="246"/>
      <c r="P32" s="246"/>
      <c r="Q32" s="246"/>
      <c r="R32" s="246"/>
    </row>
    <row r="33" spans="1:18" s="236" customFormat="1" ht="15">
      <c r="A33" s="264"/>
      <c r="B33" s="271" t="s">
        <v>159</v>
      </c>
      <c r="C33" s="264"/>
      <c r="D33" s="275" t="s">
        <v>160</v>
      </c>
      <c r="E33" s="272">
        <v>3690.04</v>
      </c>
      <c r="F33" s="272">
        <v>6636.14</v>
      </c>
      <c r="G33" s="272">
        <v>11000</v>
      </c>
      <c r="H33" s="272">
        <v>10235.08</v>
      </c>
      <c r="I33" s="302"/>
      <c r="J33" s="300">
        <f t="shared" si="2"/>
        <v>93.04618181818182</v>
      </c>
      <c r="K33" s="300">
        <f t="shared" si="3"/>
        <v>277.3704350088346</v>
      </c>
      <c r="L33" s="246"/>
      <c r="M33" s="246"/>
      <c r="N33" s="246"/>
      <c r="O33" s="246"/>
      <c r="P33" s="246"/>
      <c r="Q33" s="246"/>
      <c r="R33" s="246"/>
    </row>
    <row r="34" spans="1:18" s="236" customFormat="1" ht="15">
      <c r="A34" s="264"/>
      <c r="B34" s="269" t="s">
        <v>161</v>
      </c>
      <c r="C34" s="264"/>
      <c r="D34" s="276" t="s">
        <v>162</v>
      </c>
      <c r="E34" s="270">
        <f>E35+E36+E37+E38+E39+E40+E41+E42+E43</f>
        <v>198800.68000000002</v>
      </c>
      <c r="F34" s="270">
        <f>SUM(F35:F43)</f>
        <v>210739.93</v>
      </c>
      <c r="G34" s="270">
        <f>SUM(G35:G43)</f>
        <v>231000</v>
      </c>
      <c r="H34" s="270">
        <f>SUM(H35:H43)</f>
        <v>249616.10000000003</v>
      </c>
      <c r="I34" s="302"/>
      <c r="J34" s="300">
        <f t="shared" si="2"/>
        <v>108.05891774891776</v>
      </c>
      <c r="K34" s="300">
        <f t="shared" si="3"/>
        <v>125.56098902679811</v>
      </c>
      <c r="L34" s="246"/>
      <c r="M34" s="246"/>
      <c r="N34" s="246"/>
      <c r="O34" s="246"/>
      <c r="P34" s="246"/>
      <c r="Q34" s="246"/>
      <c r="R34" s="246"/>
    </row>
    <row r="35" spans="1:18" s="236" customFormat="1" ht="15">
      <c r="A35" s="264"/>
      <c r="B35" s="271" t="s">
        <v>163</v>
      </c>
      <c r="C35" s="264"/>
      <c r="D35" s="275" t="s">
        <v>164</v>
      </c>
      <c r="E35" s="272">
        <v>33387.9</v>
      </c>
      <c r="F35" s="272">
        <v>33180.7</v>
      </c>
      <c r="G35" s="272">
        <v>34000</v>
      </c>
      <c r="H35" s="272">
        <v>36388.49</v>
      </c>
      <c r="I35" s="302"/>
      <c r="J35" s="300">
        <f t="shared" si="2"/>
        <v>107.02497058823528</v>
      </c>
      <c r="K35" s="300">
        <f t="shared" si="3"/>
        <v>108.98705818574992</v>
      </c>
      <c r="M35" s="246"/>
      <c r="N35" s="246"/>
      <c r="O35" s="246"/>
      <c r="P35" s="246"/>
      <c r="Q35" s="246"/>
      <c r="R35" s="246"/>
    </row>
    <row r="36" spans="1:18" s="236" customFormat="1" ht="15">
      <c r="A36" s="264"/>
      <c r="B36" s="271" t="s">
        <v>165</v>
      </c>
      <c r="C36" s="264"/>
      <c r="D36" s="275" t="s">
        <v>166</v>
      </c>
      <c r="E36" s="272">
        <v>0</v>
      </c>
      <c r="F36" s="272"/>
      <c r="G36" s="272"/>
      <c r="H36" s="272">
        <v>18261.01</v>
      </c>
      <c r="I36" s="302"/>
      <c r="J36" s="300" t="e">
        <f t="shared" si="2"/>
        <v>#DIV/0!</v>
      </c>
      <c r="K36" s="300" t="e">
        <f t="shared" si="3"/>
        <v>#DIV/0!</v>
      </c>
      <c r="L36" s="246"/>
      <c r="M36" s="246"/>
      <c r="N36" s="246"/>
      <c r="O36" s="246"/>
      <c r="P36" s="246"/>
      <c r="Q36" s="246"/>
      <c r="R36" s="246"/>
    </row>
    <row r="37" spans="1:18" s="236" customFormat="1" ht="15">
      <c r="A37" s="264"/>
      <c r="B37" s="271" t="s">
        <v>167</v>
      </c>
      <c r="C37" s="264"/>
      <c r="D37" s="275" t="s">
        <v>168</v>
      </c>
      <c r="E37" s="272">
        <v>414.76</v>
      </c>
      <c r="F37" s="272">
        <v>2654.46</v>
      </c>
      <c r="G37" s="272"/>
      <c r="H37" s="272">
        <v>5417.62</v>
      </c>
      <c r="I37" s="302"/>
      <c r="J37" s="300" t="e">
        <f t="shared" si="2"/>
        <v>#DIV/0!</v>
      </c>
      <c r="K37" s="300">
        <f t="shared" si="3"/>
        <v>1306.2059986498216</v>
      </c>
      <c r="L37" s="246"/>
      <c r="M37" s="246"/>
      <c r="N37" s="246"/>
      <c r="O37" s="246"/>
      <c r="P37" s="246"/>
      <c r="Q37" s="246"/>
      <c r="R37" s="246"/>
    </row>
    <row r="38" spans="1:18" s="236" customFormat="1" ht="15">
      <c r="A38" s="264"/>
      <c r="B38" s="277" t="s">
        <v>169</v>
      </c>
      <c r="C38" s="278"/>
      <c r="D38" s="279" t="s">
        <v>170</v>
      </c>
      <c r="E38" s="272">
        <v>45134.8</v>
      </c>
      <c r="F38" s="272">
        <v>45125.75</v>
      </c>
      <c r="G38" s="272">
        <v>61000</v>
      </c>
      <c r="H38" s="272">
        <v>61425.55</v>
      </c>
      <c r="I38" s="302"/>
      <c r="J38" s="300">
        <f t="shared" si="2"/>
        <v>100.69762295081968</v>
      </c>
      <c r="K38" s="300">
        <f t="shared" si="3"/>
        <v>136.09354644309934</v>
      </c>
      <c r="L38" s="246"/>
      <c r="M38" s="246"/>
      <c r="N38" s="246"/>
      <c r="O38" s="246"/>
      <c r="P38" s="246"/>
      <c r="Q38" s="246"/>
      <c r="R38" s="246"/>
    </row>
    <row r="39" spans="1:18" s="236" customFormat="1" ht="15">
      <c r="A39" s="264"/>
      <c r="B39" s="277">
        <v>3235</v>
      </c>
      <c r="C39" s="278"/>
      <c r="D39" s="279" t="s">
        <v>171</v>
      </c>
      <c r="E39" s="272">
        <v>25103.14</v>
      </c>
      <c r="F39" s="272">
        <v>33180.7</v>
      </c>
      <c r="G39" s="272">
        <v>30000</v>
      </c>
      <c r="H39" s="272">
        <v>23898.21</v>
      </c>
      <c r="I39" s="302"/>
      <c r="J39" s="300">
        <f t="shared" si="2"/>
        <v>79.66069999999999</v>
      </c>
      <c r="K39" s="300">
        <f t="shared" si="3"/>
        <v>95.20008253947513</v>
      </c>
      <c r="L39" s="246"/>
      <c r="M39" s="246"/>
      <c r="N39" s="246"/>
      <c r="O39" s="246"/>
      <c r="P39" s="246"/>
      <c r="Q39" s="246"/>
      <c r="R39" s="246"/>
    </row>
    <row r="40" spans="1:18" s="236" customFormat="1" ht="15">
      <c r="A40" s="264"/>
      <c r="B40" s="277">
        <v>3236</v>
      </c>
      <c r="C40" s="278"/>
      <c r="D40" s="279" t="s">
        <v>172</v>
      </c>
      <c r="E40" s="272">
        <v>11514.81</v>
      </c>
      <c r="F40" s="272">
        <v>30128.08</v>
      </c>
      <c r="G40" s="272">
        <v>22000</v>
      </c>
      <c r="H40" s="272">
        <v>24496.01</v>
      </c>
      <c r="I40" s="302"/>
      <c r="J40" s="300">
        <f t="shared" si="2"/>
        <v>111.34549999999999</v>
      </c>
      <c r="K40" s="300">
        <f t="shared" si="3"/>
        <v>212.73481716155106</v>
      </c>
      <c r="L40" s="246"/>
      <c r="M40" s="246"/>
      <c r="N40" s="246"/>
      <c r="O40" s="246"/>
      <c r="P40" s="246"/>
      <c r="Q40" s="246"/>
      <c r="R40" s="246"/>
    </row>
    <row r="41" spans="1:18" s="236" customFormat="1" ht="15">
      <c r="A41" s="264"/>
      <c r="B41" s="277">
        <v>3237</v>
      </c>
      <c r="C41" s="278"/>
      <c r="D41" s="279" t="s">
        <v>173</v>
      </c>
      <c r="E41" s="272">
        <v>65018.23</v>
      </c>
      <c r="F41" s="272">
        <v>26544.56</v>
      </c>
      <c r="G41" s="272">
        <v>45000</v>
      </c>
      <c r="H41" s="272">
        <v>43521.48</v>
      </c>
      <c r="I41" s="302"/>
      <c r="J41" s="300">
        <f t="shared" si="2"/>
        <v>96.71440000000001</v>
      </c>
      <c r="K41" s="300">
        <f t="shared" si="3"/>
        <v>66.93734972483871</v>
      </c>
      <c r="L41" s="246"/>
      <c r="M41" s="246"/>
      <c r="N41" s="246"/>
      <c r="O41" s="246"/>
      <c r="P41" s="246"/>
      <c r="Q41" s="246"/>
      <c r="R41" s="246"/>
    </row>
    <row r="42" spans="1:18" s="236" customFormat="1" ht="15">
      <c r="A42" s="264"/>
      <c r="B42" s="277" t="s">
        <v>174</v>
      </c>
      <c r="C42" s="278"/>
      <c r="D42" s="279" t="s">
        <v>175</v>
      </c>
      <c r="E42" s="272">
        <v>282.04</v>
      </c>
      <c r="F42" s="272">
        <v>1659.04</v>
      </c>
      <c r="G42" s="272">
        <v>1000</v>
      </c>
      <c r="H42" s="272"/>
      <c r="I42" s="302"/>
      <c r="J42" s="300">
        <f t="shared" si="2"/>
        <v>0</v>
      </c>
      <c r="K42" s="300">
        <f t="shared" si="3"/>
        <v>0</v>
      </c>
      <c r="L42" s="246"/>
      <c r="M42" s="246"/>
      <c r="N42" s="246"/>
      <c r="O42" s="246"/>
      <c r="P42" s="246"/>
      <c r="Q42" s="246"/>
      <c r="R42" s="246"/>
    </row>
    <row r="43" spans="1:18" s="235" customFormat="1" ht="15">
      <c r="A43" s="89"/>
      <c r="B43" s="277" t="s">
        <v>176</v>
      </c>
      <c r="C43" s="278"/>
      <c r="D43" s="279" t="s">
        <v>177</v>
      </c>
      <c r="E43" s="272">
        <v>17945</v>
      </c>
      <c r="F43" s="272">
        <v>38266.64</v>
      </c>
      <c r="G43" s="272">
        <v>38000</v>
      </c>
      <c r="H43" s="272">
        <v>36207.73</v>
      </c>
      <c r="I43" s="302"/>
      <c r="J43" s="300">
        <f t="shared" si="2"/>
        <v>95.2835</v>
      </c>
      <c r="K43" s="300">
        <f t="shared" si="3"/>
        <v>201.77057676232937</v>
      </c>
      <c r="L43" s="234"/>
      <c r="M43" s="234"/>
      <c r="N43" s="234"/>
      <c r="O43" s="234"/>
      <c r="P43" s="234"/>
      <c r="Q43" s="234"/>
      <c r="R43" s="234"/>
    </row>
    <row r="44" spans="1:18" s="235" customFormat="1" ht="15">
      <c r="A44" s="89"/>
      <c r="B44" s="273">
        <v>324</v>
      </c>
      <c r="C44" s="280"/>
      <c r="D44" s="281" t="s">
        <v>178</v>
      </c>
      <c r="E44" s="270">
        <f>SUM(E45)</f>
        <v>0</v>
      </c>
      <c r="F44" s="270">
        <f>SUM(F45)</f>
        <v>0</v>
      </c>
      <c r="G44" s="270">
        <f>SUM(G45)</f>
        <v>0</v>
      </c>
      <c r="H44" s="270">
        <f>SUM(H45)</f>
        <v>0</v>
      </c>
      <c r="I44" s="302"/>
      <c r="J44" s="300" t="e">
        <f t="shared" si="2"/>
        <v>#DIV/0!</v>
      </c>
      <c r="K44" s="300" t="e">
        <f t="shared" si="3"/>
        <v>#DIV/0!</v>
      </c>
      <c r="L44" s="234"/>
      <c r="M44" s="234"/>
      <c r="N44" s="234"/>
      <c r="O44" s="234"/>
      <c r="P44" s="234"/>
      <c r="Q44" s="234"/>
      <c r="R44" s="234"/>
    </row>
    <row r="45" spans="1:18" s="235" customFormat="1" ht="15">
      <c r="A45" s="89"/>
      <c r="B45" s="274">
        <v>3241</v>
      </c>
      <c r="C45" s="280"/>
      <c r="D45" s="282" t="s">
        <v>178</v>
      </c>
      <c r="E45" s="272"/>
      <c r="F45" s="272"/>
      <c r="G45" s="272"/>
      <c r="H45" s="272"/>
      <c r="I45" s="302"/>
      <c r="J45" s="300" t="e">
        <f t="shared" si="2"/>
        <v>#DIV/0!</v>
      </c>
      <c r="K45" s="300" t="e">
        <f t="shared" si="3"/>
        <v>#DIV/0!</v>
      </c>
      <c r="L45" s="234"/>
      <c r="M45" s="234"/>
      <c r="N45" s="234"/>
      <c r="O45" s="234"/>
      <c r="P45" s="234"/>
      <c r="Q45" s="234"/>
      <c r="R45" s="234"/>
    </row>
    <row r="46" spans="1:18" s="235" customFormat="1" ht="15">
      <c r="A46" s="89"/>
      <c r="B46" s="283">
        <v>329</v>
      </c>
      <c r="C46" s="280"/>
      <c r="D46" s="284" t="s">
        <v>179</v>
      </c>
      <c r="E46" s="270">
        <f>E47+E48+E49+E50+E51+E52+E53</f>
        <v>61459.23000000001</v>
      </c>
      <c r="F46" s="270">
        <f>SUM(F47:F53)</f>
        <v>37162.39000000001</v>
      </c>
      <c r="G46" s="270">
        <f>SUM(G47:G53)</f>
        <v>47000</v>
      </c>
      <c r="H46" s="270">
        <f>SUM(H47:H53)</f>
        <v>40015.24</v>
      </c>
      <c r="I46" s="302"/>
      <c r="J46" s="300">
        <f t="shared" si="2"/>
        <v>85.1388085106383</v>
      </c>
      <c r="K46" s="300">
        <f t="shared" si="3"/>
        <v>65.10859312750907</v>
      </c>
      <c r="L46" s="234"/>
      <c r="M46" s="234"/>
      <c r="N46" s="234"/>
      <c r="O46" s="234"/>
      <c r="P46" s="234"/>
      <c r="Q46" s="234"/>
      <c r="R46" s="234"/>
    </row>
    <row r="47" spans="1:18" s="235" customFormat="1" ht="30">
      <c r="A47" s="89"/>
      <c r="B47" s="277" t="s">
        <v>180</v>
      </c>
      <c r="C47" s="278"/>
      <c r="D47" s="282" t="s">
        <v>181</v>
      </c>
      <c r="E47" s="272">
        <v>5971.75</v>
      </c>
      <c r="F47" s="272">
        <v>6636.14</v>
      </c>
      <c r="G47" s="272">
        <v>7000</v>
      </c>
      <c r="H47" s="272">
        <v>6351.28</v>
      </c>
      <c r="I47" s="302"/>
      <c r="J47" s="300">
        <f t="shared" si="2"/>
        <v>90.73257142857143</v>
      </c>
      <c r="K47" s="300">
        <f t="shared" si="3"/>
        <v>106.35542345208691</v>
      </c>
      <c r="L47" s="234"/>
      <c r="M47" s="234"/>
      <c r="N47" s="234"/>
      <c r="O47" s="234"/>
      <c r="P47" s="234"/>
      <c r="Q47" s="234"/>
      <c r="R47" s="234"/>
    </row>
    <row r="48" spans="1:18" s="235" customFormat="1" ht="15">
      <c r="A48" s="89"/>
      <c r="B48" s="277">
        <v>3292</v>
      </c>
      <c r="C48" s="278"/>
      <c r="D48" s="279" t="s">
        <v>182</v>
      </c>
      <c r="E48" s="272">
        <v>25750.15</v>
      </c>
      <c r="F48" s="272">
        <v>6636.14</v>
      </c>
      <c r="G48" s="272">
        <v>25000</v>
      </c>
      <c r="H48" s="272">
        <v>17005.07</v>
      </c>
      <c r="I48" s="302"/>
      <c r="J48" s="300">
        <f t="shared" si="2"/>
        <v>68.02028</v>
      </c>
      <c r="K48" s="300">
        <f t="shared" si="3"/>
        <v>66.03872210453142</v>
      </c>
      <c r="L48" s="234"/>
      <c r="M48" s="234"/>
      <c r="N48" s="234"/>
      <c r="O48" s="234"/>
      <c r="P48" s="234"/>
      <c r="Q48" s="234"/>
      <c r="R48" s="234"/>
    </row>
    <row r="49" spans="1:18" s="235" customFormat="1" ht="15">
      <c r="A49" s="89"/>
      <c r="B49" s="277">
        <v>3293</v>
      </c>
      <c r="C49" s="278"/>
      <c r="D49" s="279" t="s">
        <v>183</v>
      </c>
      <c r="E49" s="272">
        <v>632.45</v>
      </c>
      <c r="F49" s="272"/>
      <c r="G49" s="272"/>
      <c r="H49" s="272">
        <v>2132.81</v>
      </c>
      <c r="I49" s="302"/>
      <c r="J49" s="300" t="e">
        <f t="shared" si="2"/>
        <v>#DIV/0!</v>
      </c>
      <c r="K49" s="300">
        <f t="shared" si="3"/>
        <v>337.22982053917303</v>
      </c>
      <c r="L49" s="234"/>
      <c r="M49" s="234"/>
      <c r="N49" s="234"/>
      <c r="O49" s="234"/>
      <c r="P49" s="234"/>
      <c r="Q49" s="234"/>
      <c r="R49" s="234"/>
    </row>
    <row r="50" spans="1:18" s="235" customFormat="1" ht="15">
      <c r="A50" s="89"/>
      <c r="B50" s="277">
        <v>3294</v>
      </c>
      <c r="C50" s="278"/>
      <c r="D50" s="279" t="s">
        <v>184</v>
      </c>
      <c r="E50" s="272">
        <v>8095.96</v>
      </c>
      <c r="F50" s="272">
        <v>6636.14</v>
      </c>
      <c r="G50" s="272">
        <v>3500</v>
      </c>
      <c r="H50" s="272">
        <v>3940.97</v>
      </c>
      <c r="I50" s="302"/>
      <c r="J50" s="300">
        <f t="shared" si="2"/>
        <v>112.59914285714285</v>
      </c>
      <c r="K50" s="300">
        <f t="shared" si="3"/>
        <v>48.678229635521916</v>
      </c>
      <c r="L50" s="234"/>
      <c r="M50" s="234"/>
      <c r="N50" s="234"/>
      <c r="O50" s="234"/>
      <c r="P50" s="234"/>
      <c r="Q50" s="234"/>
      <c r="R50" s="234"/>
    </row>
    <row r="51" spans="1:18" s="235" customFormat="1" ht="15">
      <c r="A51" s="89"/>
      <c r="B51" s="285">
        <v>3295</v>
      </c>
      <c r="C51" s="278"/>
      <c r="D51" s="286" t="s">
        <v>185</v>
      </c>
      <c r="E51" s="272">
        <v>12339.47</v>
      </c>
      <c r="F51" s="272">
        <v>13272.29</v>
      </c>
      <c r="G51" s="272">
        <v>11000</v>
      </c>
      <c r="H51" s="272">
        <v>10054.54</v>
      </c>
      <c r="I51" s="302"/>
      <c r="J51" s="300">
        <f t="shared" si="2"/>
        <v>91.4049090909091</v>
      </c>
      <c r="K51" s="300">
        <f t="shared" si="3"/>
        <v>81.48275412153035</v>
      </c>
      <c r="L51" s="234"/>
      <c r="M51" s="234"/>
      <c r="N51" s="234"/>
      <c r="O51" s="234"/>
      <c r="P51" s="234"/>
      <c r="Q51" s="234"/>
      <c r="R51" s="234"/>
    </row>
    <row r="52" spans="1:18" s="235" customFormat="1" ht="15">
      <c r="A52" s="89"/>
      <c r="B52" s="285">
        <v>3296</v>
      </c>
      <c r="C52" s="278"/>
      <c r="D52" s="286" t="s">
        <v>186</v>
      </c>
      <c r="E52" s="272"/>
      <c r="F52" s="272"/>
      <c r="G52" s="272"/>
      <c r="H52" s="272"/>
      <c r="I52" s="302"/>
      <c r="J52" s="300" t="e">
        <f t="shared" si="2"/>
        <v>#DIV/0!</v>
      </c>
      <c r="K52" s="300" t="e">
        <f t="shared" si="3"/>
        <v>#DIV/0!</v>
      </c>
      <c r="L52" s="234"/>
      <c r="M52" s="234"/>
      <c r="N52" s="234"/>
      <c r="O52" s="234"/>
      <c r="P52" s="234"/>
      <c r="Q52" s="234"/>
      <c r="R52" s="234"/>
    </row>
    <row r="53" spans="1:18" s="235" customFormat="1" ht="15">
      <c r="A53" s="89"/>
      <c r="B53" s="285" t="s">
        <v>187</v>
      </c>
      <c r="C53" s="278"/>
      <c r="D53" s="286" t="s">
        <v>179</v>
      </c>
      <c r="E53" s="272">
        <v>8669.45</v>
      </c>
      <c r="F53" s="272">
        <v>3981.68</v>
      </c>
      <c r="G53" s="272">
        <v>500</v>
      </c>
      <c r="H53" s="272">
        <v>530.57</v>
      </c>
      <c r="I53" s="302"/>
      <c r="J53" s="300">
        <f t="shared" si="2"/>
        <v>106.11400000000002</v>
      </c>
      <c r="K53" s="300">
        <f t="shared" si="3"/>
        <v>6.1199960781825835</v>
      </c>
      <c r="L53" s="234"/>
      <c r="M53" s="234"/>
      <c r="N53" s="234"/>
      <c r="O53" s="234"/>
      <c r="P53" s="234"/>
      <c r="Q53" s="234"/>
      <c r="R53" s="234"/>
    </row>
    <row r="54" spans="1:18" s="235" customFormat="1" ht="15">
      <c r="A54" s="89"/>
      <c r="B54" s="265">
        <v>34</v>
      </c>
      <c r="C54" s="266"/>
      <c r="D54" s="267" t="s">
        <v>188</v>
      </c>
      <c r="E54" s="287">
        <f>SUM(E55)</f>
        <v>31225.22</v>
      </c>
      <c r="F54" s="287">
        <f>SUM(F55)</f>
        <v>21235.65</v>
      </c>
      <c r="G54" s="287">
        <f>SUM(G55)</f>
        <v>18000</v>
      </c>
      <c r="H54" s="287">
        <f>SUM(H55)</f>
        <v>16360.95</v>
      </c>
      <c r="I54" s="301">
        <f>SUM(H54/E54*100)</f>
        <v>52.39658839873667</v>
      </c>
      <c r="J54" s="300">
        <f t="shared" si="2"/>
        <v>90.89416666666668</v>
      </c>
      <c r="K54" s="300">
        <f t="shared" si="3"/>
        <v>52.39658839873667</v>
      </c>
      <c r="L54" s="234"/>
      <c r="M54" s="234"/>
      <c r="N54" s="234"/>
      <c r="O54" s="234"/>
      <c r="P54" s="234"/>
      <c r="Q54" s="234"/>
      <c r="R54" s="234"/>
    </row>
    <row r="55" spans="1:18" s="235" customFormat="1" ht="15">
      <c r="A55" s="89"/>
      <c r="B55" s="283">
        <v>343</v>
      </c>
      <c r="C55" s="280"/>
      <c r="D55" s="284" t="s">
        <v>189</v>
      </c>
      <c r="E55" s="270">
        <f>SUM(E56:E59)</f>
        <v>31225.22</v>
      </c>
      <c r="F55" s="270">
        <f>SUM(F56:F59)</f>
        <v>21235.65</v>
      </c>
      <c r="G55" s="270">
        <f>SUM(G56:G59)</f>
        <v>18000</v>
      </c>
      <c r="H55" s="270">
        <f>SUM(H56:H58)</f>
        <v>16360.95</v>
      </c>
      <c r="I55" s="302"/>
      <c r="J55" s="300">
        <f t="shared" si="2"/>
        <v>90.89416666666668</v>
      </c>
      <c r="K55" s="300">
        <f t="shared" si="3"/>
        <v>52.39658839873667</v>
      </c>
      <c r="L55" s="234"/>
      <c r="M55" s="234"/>
      <c r="N55" s="234"/>
      <c r="O55" s="234"/>
      <c r="P55" s="234"/>
      <c r="Q55" s="234"/>
      <c r="R55" s="234"/>
    </row>
    <row r="56" spans="1:18" s="235" customFormat="1" ht="15">
      <c r="A56" s="89"/>
      <c r="B56" s="277" t="s">
        <v>190</v>
      </c>
      <c r="C56" s="278"/>
      <c r="D56" s="279" t="s">
        <v>191</v>
      </c>
      <c r="E56" s="272">
        <v>20221.29</v>
      </c>
      <c r="F56" s="272">
        <v>17253.97</v>
      </c>
      <c r="G56" s="272">
        <v>16000</v>
      </c>
      <c r="H56" s="272">
        <v>15048.11</v>
      </c>
      <c r="I56" s="302"/>
      <c r="J56" s="300">
        <f t="shared" si="2"/>
        <v>94.05068750000001</v>
      </c>
      <c r="K56" s="300">
        <f t="shared" si="3"/>
        <v>74.41716131859046</v>
      </c>
      <c r="L56" s="234"/>
      <c r="M56" s="234"/>
      <c r="N56" s="234"/>
      <c r="O56" s="234"/>
      <c r="P56" s="234"/>
      <c r="Q56" s="234"/>
      <c r="R56" s="234"/>
    </row>
    <row r="57" spans="1:18" s="235" customFormat="1" ht="15">
      <c r="A57" s="89"/>
      <c r="B57" s="277">
        <v>3242</v>
      </c>
      <c r="C57" s="278"/>
      <c r="D57" s="279" t="s">
        <v>240</v>
      </c>
      <c r="E57" s="272">
        <v>3.91</v>
      </c>
      <c r="F57" s="272"/>
      <c r="G57" s="272"/>
      <c r="H57" s="272"/>
      <c r="I57" s="302"/>
      <c r="J57" s="300"/>
      <c r="K57" s="300"/>
      <c r="L57" s="234"/>
      <c r="M57" s="234"/>
      <c r="N57" s="234"/>
      <c r="O57" s="234"/>
      <c r="P57" s="234"/>
      <c r="Q57" s="234"/>
      <c r="R57" s="234"/>
    </row>
    <row r="58" spans="1:18" s="235" customFormat="1" ht="15">
      <c r="A58" s="89"/>
      <c r="B58" s="285">
        <v>3433</v>
      </c>
      <c r="C58" s="278"/>
      <c r="D58" s="286" t="s">
        <v>192</v>
      </c>
      <c r="E58" s="272">
        <v>10952.3</v>
      </c>
      <c r="F58" s="272">
        <v>3981.68</v>
      </c>
      <c r="G58" s="272">
        <v>2000</v>
      </c>
      <c r="H58" s="272">
        <v>1312.84</v>
      </c>
      <c r="I58" s="302"/>
      <c r="J58" s="300">
        <f aca="true" t="shared" si="4" ref="J58:J108">SUM(H58/G58*100)</f>
        <v>65.642</v>
      </c>
      <c r="K58" s="300">
        <f aca="true" t="shared" si="5" ref="K58:K108">SUM(H58/E58*100)</f>
        <v>11.986888598741817</v>
      </c>
      <c r="L58" s="234"/>
      <c r="M58" s="234"/>
      <c r="N58" s="234"/>
      <c r="O58" s="234"/>
      <c r="P58" s="234"/>
      <c r="Q58" s="234"/>
      <c r="R58" s="234"/>
    </row>
    <row r="59" spans="1:18" s="235" customFormat="1" ht="15">
      <c r="A59" s="89"/>
      <c r="B59" s="285">
        <v>3434</v>
      </c>
      <c r="C59" s="278"/>
      <c r="D59" s="286" t="s">
        <v>193</v>
      </c>
      <c r="E59" s="272">
        <v>47.72</v>
      </c>
      <c r="F59" s="272"/>
      <c r="G59" s="272"/>
      <c r="H59" s="272"/>
      <c r="I59" s="302"/>
      <c r="J59" s="300" t="e">
        <f t="shared" si="4"/>
        <v>#DIV/0!</v>
      </c>
      <c r="K59" s="300">
        <f t="shared" si="5"/>
        <v>0</v>
      </c>
      <c r="L59" s="234"/>
      <c r="M59" s="234"/>
      <c r="N59" s="234"/>
      <c r="O59" s="234"/>
      <c r="P59" s="234"/>
      <c r="Q59" s="234"/>
      <c r="R59" s="234"/>
    </row>
    <row r="60" spans="1:18" s="235" customFormat="1" ht="15">
      <c r="A60" s="89"/>
      <c r="B60" s="288">
        <v>36</v>
      </c>
      <c r="C60" s="289"/>
      <c r="D60" s="290" t="s">
        <v>194</v>
      </c>
      <c r="E60" s="287">
        <f>E61</f>
        <v>640.8</v>
      </c>
      <c r="F60" s="287">
        <f>F61</f>
        <v>7963.37</v>
      </c>
      <c r="G60" s="287">
        <f>G61</f>
        <v>0</v>
      </c>
      <c r="H60" s="287">
        <f>H61</f>
        <v>0</v>
      </c>
      <c r="I60" s="301">
        <f>SUM(H60/E60*100)</f>
        <v>0</v>
      </c>
      <c r="J60" s="300" t="e">
        <f t="shared" si="4"/>
        <v>#DIV/0!</v>
      </c>
      <c r="K60" s="300">
        <f t="shared" si="5"/>
        <v>0</v>
      </c>
      <c r="L60" s="234"/>
      <c r="M60" s="234"/>
      <c r="N60" s="234"/>
      <c r="O60" s="234"/>
      <c r="P60" s="234"/>
      <c r="Q60" s="234"/>
      <c r="R60" s="234"/>
    </row>
    <row r="61" spans="1:18" s="235" customFormat="1" ht="15">
      <c r="A61" s="89"/>
      <c r="B61" s="291">
        <v>369</v>
      </c>
      <c r="C61" s="280"/>
      <c r="D61" s="292" t="s">
        <v>67</v>
      </c>
      <c r="E61" s="270">
        <f>SUM(E63,E62)</f>
        <v>640.8</v>
      </c>
      <c r="F61" s="270">
        <f>SUM(F63,F62)</f>
        <v>7963.37</v>
      </c>
      <c r="G61" s="270">
        <f>SUM(G63)</f>
        <v>0</v>
      </c>
      <c r="H61" s="270">
        <f>SUM(H63)</f>
        <v>0</v>
      </c>
      <c r="I61" s="304"/>
      <c r="J61" s="300" t="e">
        <f t="shared" si="4"/>
        <v>#DIV/0!</v>
      </c>
      <c r="K61" s="300">
        <f t="shared" si="5"/>
        <v>0</v>
      </c>
      <c r="L61" s="234"/>
      <c r="M61" s="234"/>
      <c r="N61" s="234"/>
      <c r="O61" s="234"/>
      <c r="P61" s="234"/>
      <c r="Q61" s="234"/>
      <c r="R61" s="234"/>
    </row>
    <row r="62" spans="1:18" s="235" customFormat="1" ht="15">
      <c r="A62" s="89"/>
      <c r="B62" s="285">
        <v>3691</v>
      </c>
      <c r="C62" s="278"/>
      <c r="D62" s="286" t="s">
        <v>195</v>
      </c>
      <c r="E62" s="272">
        <v>640.8</v>
      </c>
      <c r="F62" s="272"/>
      <c r="G62" s="272"/>
      <c r="H62" s="272"/>
      <c r="I62" s="302"/>
      <c r="J62" s="300" t="e">
        <f t="shared" si="4"/>
        <v>#DIV/0!</v>
      </c>
      <c r="K62" s="300">
        <f t="shared" si="5"/>
        <v>0</v>
      </c>
      <c r="L62" s="234"/>
      <c r="M62" s="234"/>
      <c r="N62" s="234"/>
      <c r="O62" s="234"/>
      <c r="P62" s="234"/>
      <c r="Q62" s="234"/>
      <c r="R62" s="234"/>
    </row>
    <row r="63" spans="1:18" s="235" customFormat="1" ht="15">
      <c r="A63" s="89"/>
      <c r="B63" s="285">
        <v>3692</v>
      </c>
      <c r="C63" s="278"/>
      <c r="D63" s="286" t="s">
        <v>196</v>
      </c>
      <c r="E63" s="272"/>
      <c r="F63" s="272">
        <v>7963.37</v>
      </c>
      <c r="G63" s="272"/>
      <c r="H63" s="272"/>
      <c r="I63" s="302"/>
      <c r="J63" s="300" t="e">
        <f t="shared" si="4"/>
        <v>#DIV/0!</v>
      </c>
      <c r="K63" s="300" t="e">
        <f t="shared" si="5"/>
        <v>#DIV/0!</v>
      </c>
      <c r="L63" s="234"/>
      <c r="M63" s="234"/>
      <c r="N63" s="234"/>
      <c r="O63" s="234"/>
      <c r="P63" s="234"/>
      <c r="Q63" s="234"/>
      <c r="R63" s="234"/>
    </row>
    <row r="64" spans="1:18" s="235" customFormat="1" ht="15">
      <c r="A64" s="89"/>
      <c r="B64" s="288">
        <v>37</v>
      </c>
      <c r="C64" s="289"/>
      <c r="D64" s="293" t="s">
        <v>197</v>
      </c>
      <c r="E64" s="287">
        <f aca="true" t="shared" si="6" ref="E64:H65">SUM(E65)</f>
        <v>0</v>
      </c>
      <c r="F64" s="287">
        <f t="shared" si="6"/>
        <v>0</v>
      </c>
      <c r="G64" s="287">
        <f t="shared" si="6"/>
        <v>0</v>
      </c>
      <c r="H64" s="287">
        <f t="shared" si="6"/>
        <v>0</v>
      </c>
      <c r="I64" s="301" t="e">
        <f>SUM(H64/E64*100)</f>
        <v>#DIV/0!</v>
      </c>
      <c r="J64" s="300" t="e">
        <f t="shared" si="4"/>
        <v>#DIV/0!</v>
      </c>
      <c r="K64" s="300" t="e">
        <f t="shared" si="5"/>
        <v>#DIV/0!</v>
      </c>
      <c r="L64" s="234"/>
      <c r="M64" s="234"/>
      <c r="N64" s="234"/>
      <c r="O64" s="234"/>
      <c r="P64" s="234"/>
      <c r="Q64" s="234"/>
      <c r="R64" s="234"/>
    </row>
    <row r="65" spans="1:18" s="235" customFormat="1" ht="15">
      <c r="A65" s="89"/>
      <c r="B65" s="291">
        <v>372</v>
      </c>
      <c r="C65" s="280"/>
      <c r="D65" s="308" t="s">
        <v>198</v>
      </c>
      <c r="E65" s="270">
        <f t="shared" si="6"/>
        <v>0</v>
      </c>
      <c r="F65" s="270">
        <f t="shared" si="6"/>
        <v>0</v>
      </c>
      <c r="G65" s="270">
        <f t="shared" si="6"/>
        <v>0</v>
      </c>
      <c r="H65" s="270">
        <f t="shared" si="6"/>
        <v>0</v>
      </c>
      <c r="I65" s="302"/>
      <c r="J65" s="300" t="e">
        <f t="shared" si="4"/>
        <v>#DIV/0!</v>
      </c>
      <c r="K65" s="300" t="e">
        <f t="shared" si="5"/>
        <v>#DIV/0!</v>
      </c>
      <c r="L65" s="234"/>
      <c r="M65" s="234"/>
      <c r="N65" s="234"/>
      <c r="O65" s="234"/>
      <c r="P65" s="234"/>
      <c r="Q65" s="234"/>
      <c r="R65" s="234"/>
    </row>
    <row r="66" spans="1:18" s="235" customFormat="1" ht="15">
      <c r="A66" s="89"/>
      <c r="B66" s="285">
        <v>3721</v>
      </c>
      <c r="C66" s="278"/>
      <c r="D66" s="309" t="s">
        <v>199</v>
      </c>
      <c r="E66" s="272"/>
      <c r="F66" s="272"/>
      <c r="G66" s="272"/>
      <c r="H66" s="272"/>
      <c r="I66" s="302"/>
      <c r="J66" s="300" t="e">
        <f t="shared" si="4"/>
        <v>#DIV/0!</v>
      </c>
      <c r="K66" s="300" t="e">
        <f t="shared" si="5"/>
        <v>#DIV/0!</v>
      </c>
      <c r="L66" s="234"/>
      <c r="M66" s="234"/>
      <c r="N66" s="234"/>
      <c r="O66" s="234"/>
      <c r="P66" s="234"/>
      <c r="Q66" s="234"/>
      <c r="R66" s="234"/>
    </row>
    <row r="67" spans="1:18" s="235" customFormat="1" ht="15">
      <c r="A67" s="89"/>
      <c r="B67" s="265" t="s">
        <v>200</v>
      </c>
      <c r="C67" s="266"/>
      <c r="D67" s="267" t="s">
        <v>133</v>
      </c>
      <c r="E67" s="287">
        <f>E70+E68</f>
        <v>339.41</v>
      </c>
      <c r="F67" s="287">
        <f>F70+F68</f>
        <v>5308.91</v>
      </c>
      <c r="G67" s="287">
        <f>G68+G70</f>
        <v>3000</v>
      </c>
      <c r="H67" s="287">
        <f>H70+H68</f>
        <v>2181.15</v>
      </c>
      <c r="I67" s="301">
        <f>SUM(H67/E67*100)</f>
        <v>642.6298576942341</v>
      </c>
      <c r="J67" s="300">
        <f t="shared" si="4"/>
        <v>72.70500000000001</v>
      </c>
      <c r="K67" s="300">
        <f t="shared" si="5"/>
        <v>642.6298576942341</v>
      </c>
      <c r="L67" s="234"/>
      <c r="M67" s="234"/>
      <c r="N67" s="234"/>
      <c r="O67" s="234"/>
      <c r="P67" s="234"/>
      <c r="Q67" s="234"/>
      <c r="R67" s="234"/>
    </row>
    <row r="68" spans="1:18" s="235" customFormat="1" ht="15">
      <c r="A68" s="89"/>
      <c r="B68" s="310" t="s">
        <v>201</v>
      </c>
      <c r="C68" s="311"/>
      <c r="D68" s="312" t="s">
        <v>202</v>
      </c>
      <c r="E68" s="313">
        <f>E69</f>
        <v>0</v>
      </c>
      <c r="F68" s="313">
        <f>F69</f>
        <v>0</v>
      </c>
      <c r="G68" s="313">
        <f>G69</f>
        <v>0</v>
      </c>
      <c r="H68" s="313">
        <f>H69</f>
        <v>0</v>
      </c>
      <c r="I68" s="300"/>
      <c r="J68" s="300" t="e">
        <f t="shared" si="4"/>
        <v>#DIV/0!</v>
      </c>
      <c r="K68" s="300" t="e">
        <f t="shared" si="5"/>
        <v>#DIV/0!</v>
      </c>
      <c r="L68" s="234"/>
      <c r="M68" s="234"/>
      <c r="N68" s="234"/>
      <c r="O68" s="234"/>
      <c r="P68" s="234"/>
      <c r="Q68" s="234"/>
      <c r="R68" s="234"/>
    </row>
    <row r="69" spans="1:18" s="235" customFormat="1" ht="15">
      <c r="A69" s="89"/>
      <c r="B69" s="314" t="s">
        <v>203</v>
      </c>
      <c r="C69" s="315"/>
      <c r="D69" s="316" t="s">
        <v>202</v>
      </c>
      <c r="E69" s="317"/>
      <c r="F69" s="317"/>
      <c r="G69" s="317"/>
      <c r="H69" s="317"/>
      <c r="I69" s="333"/>
      <c r="J69" s="300" t="e">
        <f t="shared" si="4"/>
        <v>#DIV/0!</v>
      </c>
      <c r="K69" s="300" t="e">
        <f t="shared" si="5"/>
        <v>#DIV/0!</v>
      </c>
      <c r="L69" s="234"/>
      <c r="M69" s="234"/>
      <c r="N69" s="234"/>
      <c r="O69" s="234"/>
      <c r="P69" s="234"/>
      <c r="Q69" s="234"/>
      <c r="R69" s="234"/>
    </row>
    <row r="70" spans="1:18" s="235" customFormat="1" ht="15">
      <c r="A70" s="89"/>
      <c r="B70" s="291">
        <v>383</v>
      </c>
      <c r="C70" s="280"/>
      <c r="D70" s="292" t="s">
        <v>204</v>
      </c>
      <c r="E70" s="270">
        <f>SUM(E71:E74)</f>
        <v>339.41</v>
      </c>
      <c r="F70" s="270">
        <f>SUM(F71:F74)</f>
        <v>5308.91</v>
      </c>
      <c r="G70" s="270">
        <f>SUM(G71:G74)</f>
        <v>3000</v>
      </c>
      <c r="H70" s="270">
        <f>SUM(H71:H74)</f>
        <v>2181.15</v>
      </c>
      <c r="I70" s="302"/>
      <c r="J70" s="300">
        <f t="shared" si="4"/>
        <v>72.70500000000001</v>
      </c>
      <c r="K70" s="300">
        <f t="shared" si="5"/>
        <v>642.6298576942341</v>
      </c>
      <c r="L70" s="234"/>
      <c r="M70" s="234"/>
      <c r="N70" s="234"/>
      <c r="O70" s="234"/>
      <c r="P70" s="234"/>
      <c r="Q70" s="234"/>
      <c r="R70" s="234"/>
    </row>
    <row r="71" spans="1:18" s="235" customFormat="1" ht="15">
      <c r="A71" s="89"/>
      <c r="B71" s="285">
        <v>3831</v>
      </c>
      <c r="C71" s="278"/>
      <c r="D71" s="286" t="s">
        <v>205</v>
      </c>
      <c r="E71" s="272"/>
      <c r="F71" s="272"/>
      <c r="G71" s="272"/>
      <c r="H71" s="272"/>
      <c r="I71" s="302"/>
      <c r="J71" s="300" t="e">
        <f t="shared" si="4"/>
        <v>#DIV/0!</v>
      </c>
      <c r="K71" s="300" t="e">
        <f t="shared" si="5"/>
        <v>#DIV/0!</v>
      </c>
      <c r="L71" s="234"/>
      <c r="M71" s="234"/>
      <c r="N71" s="234"/>
      <c r="O71" s="234"/>
      <c r="P71" s="234"/>
      <c r="Q71" s="234"/>
      <c r="R71" s="234"/>
    </row>
    <row r="72" spans="1:18" s="235" customFormat="1" ht="15">
      <c r="A72" s="89"/>
      <c r="B72" s="285">
        <v>3833</v>
      </c>
      <c r="C72" s="278"/>
      <c r="D72" s="286" t="s">
        <v>206</v>
      </c>
      <c r="E72" s="272"/>
      <c r="F72" s="272"/>
      <c r="G72" s="272"/>
      <c r="H72" s="272"/>
      <c r="I72" s="302"/>
      <c r="J72" s="300" t="e">
        <f t="shared" si="4"/>
        <v>#DIV/0!</v>
      </c>
      <c r="K72" s="300" t="e">
        <f t="shared" si="5"/>
        <v>#DIV/0!</v>
      </c>
      <c r="L72" s="234"/>
      <c r="M72" s="234"/>
      <c r="N72" s="234"/>
      <c r="O72" s="234"/>
      <c r="P72" s="234"/>
      <c r="Q72" s="234"/>
      <c r="R72" s="234"/>
    </row>
    <row r="73" spans="1:18" s="235" customFormat="1" ht="15">
      <c r="A73" s="89"/>
      <c r="B73" s="285">
        <v>3834</v>
      </c>
      <c r="C73" s="278"/>
      <c r="D73" s="286" t="s">
        <v>207</v>
      </c>
      <c r="E73" s="272">
        <v>339.41</v>
      </c>
      <c r="F73" s="272">
        <v>5308.91</v>
      </c>
      <c r="G73" s="272">
        <v>3000</v>
      </c>
      <c r="H73" s="272">
        <v>2181.15</v>
      </c>
      <c r="I73" s="302"/>
      <c r="J73" s="300">
        <f t="shared" si="4"/>
        <v>72.70500000000001</v>
      </c>
      <c r="K73" s="300">
        <f t="shared" si="5"/>
        <v>642.6298576942341</v>
      </c>
      <c r="L73" s="234"/>
      <c r="M73" s="234"/>
      <c r="N73" s="234"/>
      <c r="O73" s="234"/>
      <c r="P73" s="234"/>
      <c r="Q73" s="234"/>
      <c r="R73" s="234"/>
    </row>
    <row r="74" spans="1:18" s="235" customFormat="1" ht="15">
      <c r="A74" s="89"/>
      <c r="B74" s="285">
        <v>3835</v>
      </c>
      <c r="C74" s="278"/>
      <c r="D74" s="286" t="s">
        <v>208</v>
      </c>
      <c r="E74" s="272"/>
      <c r="F74" s="272"/>
      <c r="G74" s="272"/>
      <c r="H74" s="272"/>
      <c r="I74" s="302"/>
      <c r="J74" s="300" t="e">
        <f t="shared" si="4"/>
        <v>#DIV/0!</v>
      </c>
      <c r="K74" s="300" t="e">
        <f t="shared" si="5"/>
        <v>#DIV/0!</v>
      </c>
      <c r="L74" s="234"/>
      <c r="M74" s="234"/>
      <c r="N74" s="234"/>
      <c r="O74" s="234"/>
      <c r="P74" s="234"/>
      <c r="Q74" s="234"/>
      <c r="R74" s="234"/>
    </row>
    <row r="75" spans="1:18" s="235" customFormat="1" ht="15">
      <c r="A75" s="318">
        <v>4</v>
      </c>
      <c r="B75" s="319"/>
      <c r="C75" s="320"/>
      <c r="D75" s="321" t="s">
        <v>209</v>
      </c>
      <c r="E75" s="322">
        <f>E76+E81+E93</f>
        <v>0</v>
      </c>
      <c r="F75" s="322">
        <f>F76+F81+F93</f>
        <v>0</v>
      </c>
      <c r="G75" s="322">
        <f>G76+G81+G93</f>
        <v>0</v>
      </c>
      <c r="H75" s="322">
        <f>H76+H81+H93</f>
        <v>0</v>
      </c>
      <c r="I75" s="299" t="e">
        <f>SUM(H75/E75*100)</f>
        <v>#DIV/0!</v>
      </c>
      <c r="J75" s="300" t="e">
        <f t="shared" si="4"/>
        <v>#DIV/0!</v>
      </c>
      <c r="K75" s="300" t="e">
        <f t="shared" si="5"/>
        <v>#DIV/0!</v>
      </c>
      <c r="L75" s="234"/>
      <c r="M75" s="234"/>
      <c r="N75" s="234"/>
      <c r="O75" s="234"/>
      <c r="P75" s="234"/>
      <c r="Q75" s="234"/>
      <c r="R75" s="234"/>
    </row>
    <row r="76" spans="1:18" s="235" customFormat="1" ht="15">
      <c r="A76" s="323"/>
      <c r="B76" s="265" t="s">
        <v>210</v>
      </c>
      <c r="C76" s="266"/>
      <c r="D76" s="324" t="s">
        <v>211</v>
      </c>
      <c r="E76" s="287">
        <f>SUM(E79)</f>
        <v>0</v>
      </c>
      <c r="F76" s="287">
        <f>SUM(F79)</f>
        <v>0</v>
      </c>
      <c r="G76" s="287">
        <f>SUM(G77,G79)</f>
        <v>0</v>
      </c>
      <c r="H76" s="287">
        <f>SUM(H77,H79)</f>
        <v>0</v>
      </c>
      <c r="I76" s="301" t="e">
        <f>SUM(H76/E76*100)</f>
        <v>#DIV/0!</v>
      </c>
      <c r="J76" s="300" t="e">
        <f t="shared" si="4"/>
        <v>#DIV/0!</v>
      </c>
      <c r="K76" s="300" t="e">
        <f t="shared" si="5"/>
        <v>#DIV/0!</v>
      </c>
      <c r="L76" s="234"/>
      <c r="M76" s="234"/>
      <c r="N76" s="234"/>
      <c r="O76" s="234"/>
      <c r="P76" s="234"/>
      <c r="Q76" s="234"/>
      <c r="R76" s="234"/>
    </row>
    <row r="77" spans="1:18" s="235" customFormat="1" ht="15">
      <c r="A77" s="323"/>
      <c r="B77" s="310" t="s">
        <v>212</v>
      </c>
      <c r="C77" s="311"/>
      <c r="D77" s="325" t="s">
        <v>213</v>
      </c>
      <c r="E77" s="313">
        <f>SUM(E78)</f>
        <v>0</v>
      </c>
      <c r="F77" s="313">
        <f>SUM(F78)</f>
        <v>0</v>
      </c>
      <c r="G77" s="313">
        <f>SUM(G78)</f>
        <v>0</v>
      </c>
      <c r="H77" s="313">
        <f>SUM(H78)</f>
        <v>0</v>
      </c>
      <c r="I77" s="333"/>
      <c r="J77" s="300" t="e">
        <f t="shared" si="4"/>
        <v>#DIV/0!</v>
      </c>
      <c r="K77" s="300" t="e">
        <f t="shared" si="5"/>
        <v>#DIV/0!</v>
      </c>
      <c r="L77" s="234"/>
      <c r="M77" s="234"/>
      <c r="N77" s="234"/>
      <c r="O77" s="234"/>
      <c r="P77" s="234"/>
      <c r="Q77" s="234"/>
      <c r="R77" s="234"/>
    </row>
    <row r="78" spans="1:18" s="235" customFormat="1" ht="15">
      <c r="A78" s="323"/>
      <c r="B78" s="314" t="s">
        <v>214</v>
      </c>
      <c r="C78" s="315"/>
      <c r="D78" s="326" t="s">
        <v>215</v>
      </c>
      <c r="E78" s="317"/>
      <c r="F78" s="317"/>
      <c r="G78" s="317"/>
      <c r="H78" s="317"/>
      <c r="I78" s="333"/>
      <c r="J78" s="300" t="e">
        <f t="shared" si="4"/>
        <v>#DIV/0!</v>
      </c>
      <c r="K78" s="300" t="e">
        <f t="shared" si="5"/>
        <v>#DIV/0!</v>
      </c>
      <c r="L78" s="234"/>
      <c r="M78" s="234"/>
      <c r="N78" s="234"/>
      <c r="O78" s="234"/>
      <c r="P78" s="234"/>
      <c r="Q78" s="234"/>
      <c r="R78" s="234"/>
    </row>
    <row r="79" spans="1:18" s="235" customFormat="1" ht="15">
      <c r="A79" s="323"/>
      <c r="B79" s="283">
        <v>412</v>
      </c>
      <c r="C79" s="273"/>
      <c r="D79" s="70" t="s">
        <v>216</v>
      </c>
      <c r="E79" s="270">
        <f>SUM(E80)</f>
        <v>0</v>
      </c>
      <c r="F79" s="270">
        <f>SUM(F80)</f>
        <v>0</v>
      </c>
      <c r="G79" s="270">
        <f>SUM(G80)</f>
        <v>0</v>
      </c>
      <c r="H79" s="270">
        <f>SUM(H80)</f>
        <v>0</v>
      </c>
      <c r="I79" s="302"/>
      <c r="J79" s="300" t="e">
        <f t="shared" si="4"/>
        <v>#DIV/0!</v>
      </c>
      <c r="K79" s="300" t="e">
        <f t="shared" si="5"/>
        <v>#DIV/0!</v>
      </c>
      <c r="L79" s="234"/>
      <c r="M79" s="234"/>
      <c r="N79" s="234"/>
      <c r="O79" s="234"/>
      <c r="P79" s="234"/>
      <c r="Q79" s="234"/>
      <c r="R79" s="234"/>
    </row>
    <row r="80" spans="1:18" s="235" customFormat="1" ht="15">
      <c r="A80" s="327"/>
      <c r="B80" s="277">
        <v>4123</v>
      </c>
      <c r="C80" s="274"/>
      <c r="D80" s="71" t="s">
        <v>217</v>
      </c>
      <c r="E80" s="272"/>
      <c r="F80" s="272"/>
      <c r="G80" s="272"/>
      <c r="H80" s="272"/>
      <c r="I80" s="302"/>
      <c r="J80" s="300" t="e">
        <f t="shared" si="4"/>
        <v>#DIV/0!</v>
      </c>
      <c r="K80" s="300" t="e">
        <f t="shared" si="5"/>
        <v>#DIV/0!</v>
      </c>
      <c r="L80" s="234"/>
      <c r="M80" s="234"/>
      <c r="N80" s="234"/>
      <c r="O80" s="234"/>
      <c r="P80" s="234"/>
      <c r="Q80" s="234"/>
      <c r="R80" s="234"/>
    </row>
    <row r="81" spans="1:18" s="235" customFormat="1" ht="15">
      <c r="A81" s="89"/>
      <c r="B81" s="265">
        <v>42</v>
      </c>
      <c r="C81" s="266"/>
      <c r="D81" s="267" t="s">
        <v>218</v>
      </c>
      <c r="E81" s="287">
        <f>SUM(E82,E89,E91)</f>
        <v>0</v>
      </c>
      <c r="F81" s="287">
        <f>SUM(F82,F89,F91)</f>
        <v>0</v>
      </c>
      <c r="G81" s="287">
        <f>SUM(G82,G89)</f>
        <v>0</v>
      </c>
      <c r="H81" s="287">
        <f>SUM(H82,H89,H91)</f>
        <v>0</v>
      </c>
      <c r="I81" s="301" t="e">
        <f>SUM(H81/E81*100)</f>
        <v>#DIV/0!</v>
      </c>
      <c r="J81" s="300" t="e">
        <f t="shared" si="4"/>
        <v>#DIV/0!</v>
      </c>
      <c r="K81" s="300" t="e">
        <f t="shared" si="5"/>
        <v>#DIV/0!</v>
      </c>
      <c r="L81" s="234"/>
      <c r="M81" s="234"/>
      <c r="N81" s="234"/>
      <c r="O81" s="234"/>
      <c r="P81" s="234"/>
      <c r="Q81" s="234"/>
      <c r="R81" s="234"/>
    </row>
    <row r="82" spans="1:18" s="235" customFormat="1" ht="15">
      <c r="A82" s="89"/>
      <c r="B82" s="269">
        <v>422</v>
      </c>
      <c r="C82" s="89"/>
      <c r="D82" s="264" t="s">
        <v>219</v>
      </c>
      <c r="E82" s="270">
        <f>SUM(E83:E88)</f>
        <v>0</v>
      </c>
      <c r="F82" s="270">
        <f>SUM(F83:F88)</f>
        <v>0</v>
      </c>
      <c r="G82" s="270">
        <f>SUM(G83:G88)</f>
        <v>0</v>
      </c>
      <c r="H82" s="270">
        <f>SUM(H83:H88)</f>
        <v>0</v>
      </c>
      <c r="I82" s="302"/>
      <c r="J82" s="300" t="e">
        <f t="shared" si="4"/>
        <v>#DIV/0!</v>
      </c>
      <c r="K82" s="300" t="e">
        <f t="shared" si="5"/>
        <v>#DIV/0!</v>
      </c>
      <c r="L82" s="234"/>
      <c r="M82" s="234"/>
      <c r="N82" s="234"/>
      <c r="O82" s="234"/>
      <c r="P82" s="234"/>
      <c r="Q82" s="234"/>
      <c r="R82" s="234"/>
    </row>
    <row r="83" spans="1:18" s="235" customFormat="1" ht="15">
      <c r="A83" s="89"/>
      <c r="B83" s="271" t="s">
        <v>220</v>
      </c>
      <c r="C83" s="89"/>
      <c r="D83" s="89" t="s">
        <v>221</v>
      </c>
      <c r="E83" s="272"/>
      <c r="F83" s="272"/>
      <c r="G83" s="272"/>
      <c r="H83" s="272"/>
      <c r="I83" s="302"/>
      <c r="J83" s="300" t="e">
        <f t="shared" si="4"/>
        <v>#DIV/0!</v>
      </c>
      <c r="K83" s="300" t="e">
        <f t="shared" si="5"/>
        <v>#DIV/0!</v>
      </c>
      <c r="L83" s="234"/>
      <c r="M83" s="234"/>
      <c r="N83" s="234"/>
      <c r="O83" s="234"/>
      <c r="P83" s="234"/>
      <c r="Q83" s="234"/>
      <c r="R83" s="234"/>
    </row>
    <row r="84" spans="1:18" s="235" customFormat="1" ht="15">
      <c r="A84" s="89"/>
      <c r="B84" s="271" t="s">
        <v>222</v>
      </c>
      <c r="C84" s="89"/>
      <c r="D84" s="89" t="s">
        <v>223</v>
      </c>
      <c r="E84" s="272"/>
      <c r="F84" s="272"/>
      <c r="G84" s="272"/>
      <c r="H84" s="272"/>
      <c r="I84" s="302"/>
      <c r="J84" s="300" t="e">
        <f t="shared" si="4"/>
        <v>#DIV/0!</v>
      </c>
      <c r="K84" s="300" t="e">
        <f t="shared" si="5"/>
        <v>#DIV/0!</v>
      </c>
      <c r="L84" s="234"/>
      <c r="M84" s="234"/>
      <c r="N84" s="234"/>
      <c r="O84" s="234"/>
      <c r="P84" s="234"/>
      <c r="Q84" s="234"/>
      <c r="R84" s="234"/>
    </row>
    <row r="85" spans="1:18" s="235" customFormat="1" ht="15">
      <c r="A85" s="327"/>
      <c r="B85" s="277">
        <v>4223</v>
      </c>
      <c r="C85" s="274"/>
      <c r="D85" s="71" t="s">
        <v>224</v>
      </c>
      <c r="E85" s="272"/>
      <c r="F85" s="272"/>
      <c r="G85" s="272"/>
      <c r="H85" s="272"/>
      <c r="I85" s="302"/>
      <c r="J85" s="300" t="e">
        <f t="shared" si="4"/>
        <v>#DIV/0!</v>
      </c>
      <c r="K85" s="300" t="e">
        <f t="shared" si="5"/>
        <v>#DIV/0!</v>
      </c>
      <c r="L85" s="234"/>
      <c r="M85" s="234"/>
      <c r="N85" s="234"/>
      <c r="O85" s="234"/>
      <c r="P85" s="234"/>
      <c r="Q85" s="234"/>
      <c r="R85" s="234"/>
    </row>
    <row r="86" spans="1:18" s="235" customFormat="1" ht="15">
      <c r="A86" s="327"/>
      <c r="B86" s="277">
        <v>4224</v>
      </c>
      <c r="C86" s="274"/>
      <c r="D86" s="71" t="s">
        <v>225</v>
      </c>
      <c r="E86" s="272"/>
      <c r="F86" s="272"/>
      <c r="G86" s="272"/>
      <c r="H86" s="272"/>
      <c r="I86" s="302"/>
      <c r="J86" s="300" t="e">
        <f t="shared" si="4"/>
        <v>#DIV/0!</v>
      </c>
      <c r="K86" s="300" t="e">
        <f t="shared" si="5"/>
        <v>#DIV/0!</v>
      </c>
      <c r="L86" s="234"/>
      <c r="M86" s="234"/>
      <c r="N86" s="234"/>
      <c r="O86" s="234"/>
      <c r="P86" s="234"/>
      <c r="Q86" s="234"/>
      <c r="R86" s="234"/>
    </row>
    <row r="87" spans="1:18" s="235" customFormat="1" ht="15">
      <c r="A87" s="327"/>
      <c r="B87" s="277">
        <v>4225</v>
      </c>
      <c r="C87" s="274"/>
      <c r="D87" s="71" t="s">
        <v>226</v>
      </c>
      <c r="E87" s="272"/>
      <c r="F87" s="272"/>
      <c r="G87" s="272"/>
      <c r="H87" s="272"/>
      <c r="I87" s="302"/>
      <c r="J87" s="300" t="e">
        <f t="shared" si="4"/>
        <v>#DIV/0!</v>
      </c>
      <c r="K87" s="300" t="e">
        <f t="shared" si="5"/>
        <v>#DIV/0!</v>
      </c>
      <c r="L87" s="234"/>
      <c r="M87" s="234"/>
      <c r="N87" s="234"/>
      <c r="O87" s="234"/>
      <c r="P87" s="234"/>
      <c r="Q87" s="234"/>
      <c r="R87" s="234"/>
    </row>
    <row r="88" spans="1:18" s="235" customFormat="1" ht="15">
      <c r="A88" s="327"/>
      <c r="B88" s="277">
        <v>4227</v>
      </c>
      <c r="C88" s="274"/>
      <c r="D88" s="71" t="s">
        <v>227</v>
      </c>
      <c r="E88" s="272"/>
      <c r="F88" s="272"/>
      <c r="G88" s="272"/>
      <c r="H88" s="272"/>
      <c r="I88" s="302"/>
      <c r="J88" s="300" t="e">
        <f t="shared" si="4"/>
        <v>#DIV/0!</v>
      </c>
      <c r="K88" s="300" t="e">
        <f t="shared" si="5"/>
        <v>#DIV/0!</v>
      </c>
      <c r="L88" s="234"/>
      <c r="M88" s="234"/>
      <c r="N88" s="234"/>
      <c r="O88" s="234"/>
      <c r="P88" s="234"/>
      <c r="Q88" s="234"/>
      <c r="R88" s="234"/>
    </row>
    <row r="89" spans="1:18" s="236" customFormat="1" ht="15">
      <c r="A89" s="323"/>
      <c r="B89" s="283">
        <v>423</v>
      </c>
      <c r="C89" s="273"/>
      <c r="D89" s="70" t="s">
        <v>228</v>
      </c>
      <c r="E89" s="270">
        <f>E90</f>
        <v>0</v>
      </c>
      <c r="F89" s="270">
        <f>F90</f>
        <v>0</v>
      </c>
      <c r="G89" s="270">
        <f>G90</f>
        <v>0</v>
      </c>
      <c r="H89" s="270">
        <f>H90</f>
        <v>0</v>
      </c>
      <c r="I89" s="304"/>
      <c r="J89" s="300" t="e">
        <f t="shared" si="4"/>
        <v>#DIV/0!</v>
      </c>
      <c r="K89" s="300" t="e">
        <f t="shared" si="5"/>
        <v>#DIV/0!</v>
      </c>
      <c r="L89" s="246"/>
      <c r="M89" s="246"/>
      <c r="N89" s="246"/>
      <c r="O89" s="246"/>
      <c r="P89" s="246"/>
      <c r="Q89" s="246"/>
      <c r="R89" s="246"/>
    </row>
    <row r="90" spans="1:18" s="235" customFormat="1" ht="15">
      <c r="A90" s="327"/>
      <c r="B90" s="277">
        <v>4231</v>
      </c>
      <c r="C90" s="274"/>
      <c r="D90" s="71" t="s">
        <v>228</v>
      </c>
      <c r="E90" s="272"/>
      <c r="F90" s="272"/>
      <c r="G90" s="272"/>
      <c r="H90" s="272"/>
      <c r="I90" s="302"/>
      <c r="J90" s="300" t="e">
        <f t="shared" si="4"/>
        <v>#DIV/0!</v>
      </c>
      <c r="K90" s="300" t="e">
        <f t="shared" si="5"/>
        <v>#DIV/0!</v>
      </c>
      <c r="L90" s="234"/>
      <c r="M90" s="234"/>
      <c r="N90" s="234"/>
      <c r="O90" s="234"/>
      <c r="P90" s="234"/>
      <c r="Q90" s="234"/>
      <c r="R90" s="234"/>
    </row>
    <row r="91" spans="1:18" s="236" customFormat="1" ht="15">
      <c r="A91" s="323"/>
      <c r="B91" s="283">
        <v>426</v>
      </c>
      <c r="C91" s="273"/>
      <c r="D91" s="70" t="s">
        <v>229</v>
      </c>
      <c r="E91" s="270">
        <f>E92</f>
        <v>0</v>
      </c>
      <c r="F91" s="270">
        <f>F92</f>
        <v>0</v>
      </c>
      <c r="G91" s="270">
        <f>G92</f>
        <v>0</v>
      </c>
      <c r="H91" s="270">
        <f>H92</f>
        <v>0</v>
      </c>
      <c r="I91" s="304"/>
      <c r="J91" s="300" t="e">
        <f t="shared" si="4"/>
        <v>#DIV/0!</v>
      </c>
      <c r="K91" s="300" t="e">
        <f t="shared" si="5"/>
        <v>#DIV/0!</v>
      </c>
      <c r="L91" s="246"/>
      <c r="M91" s="246"/>
      <c r="N91" s="246"/>
      <c r="O91" s="246"/>
      <c r="P91" s="246"/>
      <c r="Q91" s="246"/>
      <c r="R91" s="246"/>
    </row>
    <row r="92" spans="1:18" s="235" customFormat="1" ht="15">
      <c r="A92" s="327"/>
      <c r="B92" s="277">
        <v>4262</v>
      </c>
      <c r="C92" s="274"/>
      <c r="D92" s="71" t="s">
        <v>230</v>
      </c>
      <c r="E92" s="272"/>
      <c r="F92" s="272"/>
      <c r="G92" s="272"/>
      <c r="H92" s="272"/>
      <c r="I92" s="302"/>
      <c r="J92" s="300" t="e">
        <f t="shared" si="4"/>
        <v>#DIV/0!</v>
      </c>
      <c r="K92" s="300" t="e">
        <f t="shared" si="5"/>
        <v>#DIV/0!</v>
      </c>
      <c r="L92" s="234"/>
      <c r="M92" s="234"/>
      <c r="N92" s="234"/>
      <c r="O92" s="234"/>
      <c r="P92" s="234"/>
      <c r="Q92" s="234"/>
      <c r="R92" s="234"/>
    </row>
    <row r="93" spans="1:18" s="235" customFormat="1" ht="15">
      <c r="A93" s="327"/>
      <c r="B93" s="265" t="s">
        <v>231</v>
      </c>
      <c r="C93" s="266"/>
      <c r="D93" s="324" t="s">
        <v>232</v>
      </c>
      <c r="E93" s="287">
        <f>E94+E96</f>
        <v>0</v>
      </c>
      <c r="F93" s="287">
        <f>F94+F96</f>
        <v>0</v>
      </c>
      <c r="G93" s="287">
        <f>G94</f>
        <v>0</v>
      </c>
      <c r="H93" s="287">
        <f>H94</f>
        <v>0</v>
      </c>
      <c r="I93" s="301" t="e">
        <f>SUM(H93/E93*100)</f>
        <v>#DIV/0!</v>
      </c>
      <c r="J93" s="300" t="e">
        <f t="shared" si="4"/>
        <v>#DIV/0!</v>
      </c>
      <c r="K93" s="300" t="e">
        <f t="shared" si="5"/>
        <v>#DIV/0!</v>
      </c>
      <c r="L93" s="234"/>
      <c r="M93" s="234"/>
      <c r="N93" s="234"/>
      <c r="O93" s="234"/>
      <c r="P93" s="234"/>
      <c r="Q93" s="234"/>
      <c r="R93" s="234"/>
    </row>
    <row r="94" spans="1:18" s="235" customFormat="1" ht="15">
      <c r="A94" s="327"/>
      <c r="B94" s="269" t="s">
        <v>233</v>
      </c>
      <c r="C94" s="89"/>
      <c r="D94" s="264" t="s">
        <v>234</v>
      </c>
      <c r="E94" s="270">
        <f>E95</f>
        <v>0</v>
      </c>
      <c r="F94" s="270">
        <f>F95</f>
        <v>0</v>
      </c>
      <c r="G94" s="270">
        <f>G95</f>
        <v>0</v>
      </c>
      <c r="H94" s="270">
        <f>H95</f>
        <v>0</v>
      </c>
      <c r="I94" s="302"/>
      <c r="J94" s="300" t="e">
        <f t="shared" si="4"/>
        <v>#DIV/0!</v>
      </c>
      <c r="K94" s="300" t="e">
        <f t="shared" si="5"/>
        <v>#DIV/0!</v>
      </c>
      <c r="L94" s="234"/>
      <c r="M94" s="234"/>
      <c r="N94" s="234"/>
      <c r="O94" s="234"/>
      <c r="P94" s="234"/>
      <c r="Q94" s="234"/>
      <c r="R94" s="234"/>
    </row>
    <row r="95" spans="1:18" s="235" customFormat="1" ht="15">
      <c r="A95" s="327"/>
      <c r="B95" s="271" t="s">
        <v>235</v>
      </c>
      <c r="C95" s="89"/>
      <c r="D95" s="89" t="s">
        <v>234</v>
      </c>
      <c r="E95" s="272"/>
      <c r="F95" s="272"/>
      <c r="G95" s="272"/>
      <c r="H95" s="272"/>
      <c r="I95" s="302"/>
      <c r="J95" s="300" t="e">
        <f t="shared" si="4"/>
        <v>#DIV/0!</v>
      </c>
      <c r="K95" s="300" t="e">
        <f t="shared" si="5"/>
        <v>#DIV/0!</v>
      </c>
      <c r="L95" s="234"/>
      <c r="M95" s="234"/>
      <c r="N95" s="234"/>
      <c r="O95" s="234"/>
      <c r="P95" s="234"/>
      <c r="Q95" s="234"/>
      <c r="R95" s="234"/>
    </row>
    <row r="96" spans="1:18" s="235" customFormat="1" ht="15">
      <c r="A96" s="327"/>
      <c r="B96" s="269" t="s">
        <v>236</v>
      </c>
      <c r="C96" s="264"/>
      <c r="D96" s="264" t="s">
        <v>237</v>
      </c>
      <c r="E96" s="270">
        <f>E97</f>
        <v>0</v>
      </c>
      <c r="F96" s="270">
        <f>F97</f>
        <v>0</v>
      </c>
      <c r="G96" s="270">
        <f>G97</f>
        <v>0</v>
      </c>
      <c r="H96" s="270">
        <f>H97</f>
        <v>0</v>
      </c>
      <c r="I96" s="304"/>
      <c r="J96" s="300" t="e">
        <f t="shared" si="4"/>
        <v>#DIV/0!</v>
      </c>
      <c r="K96" s="300" t="e">
        <f t="shared" si="5"/>
        <v>#DIV/0!</v>
      </c>
      <c r="L96" s="234"/>
      <c r="M96" s="234"/>
      <c r="N96" s="234"/>
      <c r="O96" s="234"/>
      <c r="P96" s="234"/>
      <c r="Q96" s="234"/>
      <c r="R96" s="234"/>
    </row>
    <row r="97" spans="1:18" s="235" customFormat="1" ht="15">
      <c r="A97" s="327"/>
      <c r="B97" s="271" t="s">
        <v>238</v>
      </c>
      <c r="C97" s="89"/>
      <c r="D97" s="89" t="s">
        <v>239</v>
      </c>
      <c r="E97" s="272"/>
      <c r="F97" s="272"/>
      <c r="G97" s="272"/>
      <c r="H97" s="272"/>
      <c r="I97" s="302"/>
      <c r="J97" s="300" t="e">
        <f t="shared" si="4"/>
        <v>#DIV/0!</v>
      </c>
      <c r="K97" s="300" t="e">
        <f t="shared" si="5"/>
        <v>#DIV/0!</v>
      </c>
      <c r="L97" s="234"/>
      <c r="M97" s="234"/>
      <c r="N97" s="234"/>
      <c r="O97" s="234"/>
      <c r="P97" s="234"/>
      <c r="Q97" s="234"/>
      <c r="R97" s="234"/>
    </row>
    <row r="98" spans="1:18" s="235" customFormat="1" ht="15">
      <c r="A98" s="328"/>
      <c r="B98" s="329"/>
      <c r="C98" s="330">
        <v>43</v>
      </c>
      <c r="D98" s="331" t="s">
        <v>86</v>
      </c>
      <c r="E98" s="332">
        <f>E75+E8</f>
        <v>6742143.01</v>
      </c>
      <c r="F98" s="332">
        <f>F75+F8</f>
        <v>6470236.91</v>
      </c>
      <c r="G98" s="332">
        <f>G75+G8</f>
        <v>7043000</v>
      </c>
      <c r="H98" s="332">
        <f>H75+H8</f>
        <v>7048834.22</v>
      </c>
      <c r="I98" s="334">
        <f>SUM(H98/E98*100)</f>
        <v>104.54886835751056</v>
      </c>
      <c r="J98" s="300">
        <f t="shared" si="4"/>
        <v>100.08283714326281</v>
      </c>
      <c r="K98" s="300">
        <f t="shared" si="5"/>
        <v>104.54886835751056</v>
      </c>
      <c r="L98" s="234"/>
      <c r="M98" s="234"/>
      <c r="N98" s="234"/>
      <c r="O98" s="234"/>
      <c r="P98" s="234"/>
      <c r="Q98" s="234"/>
      <c r="R98" s="234"/>
    </row>
    <row r="99" spans="1:18" s="235" customFormat="1" ht="15">
      <c r="A99" s="260" t="s">
        <v>121</v>
      </c>
      <c r="B99" s="260"/>
      <c r="C99" s="261"/>
      <c r="D99" s="262" t="s">
        <v>122</v>
      </c>
      <c r="E99" s="263">
        <f>E100+E111+E142+E148+E151</f>
        <v>1577763.3800000001</v>
      </c>
      <c r="F99" s="263">
        <f>F100+F111+F142+F148+F151</f>
        <v>1173933.2399999998</v>
      </c>
      <c r="G99" s="263">
        <f>G100+G111+G148+G142+G151</f>
        <v>1680700</v>
      </c>
      <c r="H99" s="263">
        <f>H100+H111+H142+H148+H151</f>
        <v>1698348.0499999998</v>
      </c>
      <c r="I99" s="299">
        <f>SUM(H99/E99*100)</f>
        <v>107.64276009498963</v>
      </c>
      <c r="J99" s="300">
        <f t="shared" si="4"/>
        <v>101.05004164931277</v>
      </c>
      <c r="K99" s="300">
        <f t="shared" si="5"/>
        <v>107.64276009498963</v>
      </c>
      <c r="L99" s="234"/>
      <c r="M99" s="234"/>
      <c r="N99" s="234"/>
      <c r="O99" s="234"/>
      <c r="P99" s="234"/>
      <c r="Q99" s="234"/>
      <c r="R99" s="234"/>
    </row>
    <row r="100" spans="1:18" s="235" customFormat="1" ht="15">
      <c r="A100" s="264"/>
      <c r="B100" s="265">
        <v>31</v>
      </c>
      <c r="C100" s="266"/>
      <c r="D100" s="267" t="s">
        <v>123</v>
      </c>
      <c r="E100" s="268">
        <f>E101+E106+E108</f>
        <v>470798.34</v>
      </c>
      <c r="F100" s="268">
        <f>F101+F106+F108</f>
        <v>98214.87999999999</v>
      </c>
      <c r="G100" s="268">
        <f>G101+G106+G108</f>
        <v>24000</v>
      </c>
      <c r="H100" s="268">
        <f>H101+H106+H108</f>
        <v>0</v>
      </c>
      <c r="I100" s="301">
        <f>SUM(H100/E100*100)</f>
        <v>0</v>
      </c>
      <c r="J100" s="300">
        <f t="shared" si="4"/>
        <v>0</v>
      </c>
      <c r="K100" s="300">
        <f t="shared" si="5"/>
        <v>0</v>
      </c>
      <c r="L100" s="234"/>
      <c r="M100" s="234"/>
      <c r="N100" s="234"/>
      <c r="O100" s="234"/>
      <c r="P100" s="234"/>
      <c r="Q100" s="234"/>
      <c r="R100" s="234"/>
    </row>
    <row r="101" spans="1:18" s="235" customFormat="1" ht="15">
      <c r="A101" s="264"/>
      <c r="B101" s="269">
        <v>311</v>
      </c>
      <c r="C101" s="89"/>
      <c r="D101" s="264" t="s">
        <v>124</v>
      </c>
      <c r="E101" s="270">
        <f>SUM(E102:E105)</f>
        <v>470798.34</v>
      </c>
      <c r="F101" s="270">
        <f>SUM(F102:F105)</f>
        <v>72997.54</v>
      </c>
      <c r="G101" s="270">
        <f>SUM(G102:G105)</f>
        <v>18000</v>
      </c>
      <c r="H101" s="270">
        <f>SUM(H102:H105)</f>
        <v>0</v>
      </c>
      <c r="I101" s="302"/>
      <c r="J101" s="300">
        <f t="shared" si="4"/>
        <v>0</v>
      </c>
      <c r="K101" s="300">
        <f t="shared" si="5"/>
        <v>0</v>
      </c>
      <c r="L101" s="234"/>
      <c r="M101" s="234"/>
      <c r="N101" s="234"/>
      <c r="O101" s="234"/>
      <c r="P101" s="234"/>
      <c r="Q101" s="234"/>
      <c r="R101" s="234"/>
    </row>
    <row r="102" spans="1:18" s="235" customFormat="1" ht="15">
      <c r="A102" s="89"/>
      <c r="B102" s="271">
        <v>3111</v>
      </c>
      <c r="C102" s="89"/>
      <c r="D102" s="89" t="s">
        <v>125</v>
      </c>
      <c r="E102" s="272">
        <v>411440.71</v>
      </c>
      <c r="F102" s="272">
        <v>72997.54</v>
      </c>
      <c r="G102" s="272">
        <v>18000</v>
      </c>
      <c r="H102" s="272"/>
      <c r="I102" s="302"/>
      <c r="J102" s="300">
        <f t="shared" si="4"/>
        <v>0</v>
      </c>
      <c r="K102" s="300">
        <f t="shared" si="5"/>
        <v>0</v>
      </c>
      <c r="L102" s="234"/>
      <c r="M102" s="234"/>
      <c r="N102" s="234"/>
      <c r="O102" s="234"/>
      <c r="P102" s="234"/>
      <c r="Q102" s="234"/>
      <c r="R102" s="234"/>
    </row>
    <row r="103" spans="1:18" s="236" customFormat="1" ht="15">
      <c r="A103" s="89"/>
      <c r="B103" s="271" t="s">
        <v>126</v>
      </c>
      <c r="C103" s="89"/>
      <c r="D103" s="89" t="s">
        <v>127</v>
      </c>
      <c r="E103" s="272"/>
      <c r="F103" s="272"/>
      <c r="G103" s="272"/>
      <c r="H103" s="272"/>
      <c r="I103" s="302"/>
      <c r="J103" s="300" t="e">
        <f t="shared" si="4"/>
        <v>#DIV/0!</v>
      </c>
      <c r="K103" s="300" t="e">
        <f t="shared" si="5"/>
        <v>#DIV/0!</v>
      </c>
      <c r="L103" s="246"/>
      <c r="M103" s="246"/>
      <c r="N103" s="246"/>
      <c r="O103" s="246"/>
      <c r="P103" s="246"/>
      <c r="Q103" s="246"/>
      <c r="R103" s="246"/>
    </row>
    <row r="104" spans="1:18" s="236" customFormat="1" ht="15">
      <c r="A104" s="89"/>
      <c r="B104" s="271" t="s">
        <v>128</v>
      </c>
      <c r="C104" s="89"/>
      <c r="D104" s="89" t="s">
        <v>129</v>
      </c>
      <c r="E104" s="272">
        <v>59357.63</v>
      </c>
      <c r="F104" s="272"/>
      <c r="G104" s="272"/>
      <c r="H104" s="272"/>
      <c r="I104" s="304"/>
      <c r="J104" s="300" t="e">
        <f t="shared" si="4"/>
        <v>#DIV/0!</v>
      </c>
      <c r="K104" s="300">
        <f t="shared" si="5"/>
        <v>0</v>
      </c>
      <c r="L104" s="246"/>
      <c r="M104" s="246"/>
      <c r="N104" s="246"/>
      <c r="O104" s="246"/>
      <c r="P104" s="246"/>
      <c r="Q104" s="246"/>
      <c r="R104" s="246"/>
    </row>
    <row r="105" spans="1:18" s="235" customFormat="1" ht="15.75" customHeight="1">
      <c r="A105" s="89"/>
      <c r="B105" s="271" t="s">
        <v>130</v>
      </c>
      <c r="C105" s="89"/>
      <c r="D105" s="89" t="s">
        <v>131</v>
      </c>
      <c r="E105" s="272">
        <v>0</v>
      </c>
      <c r="F105" s="272"/>
      <c r="G105" s="272"/>
      <c r="H105" s="272"/>
      <c r="I105" s="304"/>
      <c r="J105" s="300" t="e">
        <f t="shared" si="4"/>
        <v>#DIV/0!</v>
      </c>
      <c r="K105" s="300" t="e">
        <f t="shared" si="5"/>
        <v>#DIV/0!</v>
      </c>
      <c r="L105" s="234"/>
      <c r="M105" s="234"/>
      <c r="N105" s="234"/>
      <c r="O105" s="234"/>
      <c r="P105" s="234"/>
      <c r="Q105" s="234"/>
      <c r="R105" s="234"/>
    </row>
    <row r="106" spans="1:18" s="235" customFormat="1" ht="15.75" customHeight="1">
      <c r="A106" s="264"/>
      <c r="B106" s="269" t="s">
        <v>132</v>
      </c>
      <c r="C106" s="264"/>
      <c r="D106" s="264" t="s">
        <v>133</v>
      </c>
      <c r="E106" s="270">
        <f>SUM(E107)</f>
        <v>0</v>
      </c>
      <c r="F106" s="270">
        <f>SUM(F107)</f>
        <v>5972.53</v>
      </c>
      <c r="G106" s="270">
        <f>SUM(G107)</f>
        <v>0</v>
      </c>
      <c r="H106" s="270">
        <f>SUM(H107)</f>
        <v>0</v>
      </c>
      <c r="I106" s="304"/>
      <c r="J106" s="300" t="e">
        <f t="shared" si="4"/>
        <v>#DIV/0!</v>
      </c>
      <c r="K106" s="300" t="e">
        <f t="shared" si="5"/>
        <v>#DIV/0!</v>
      </c>
      <c r="L106" s="234"/>
      <c r="M106" s="234"/>
      <c r="N106" s="234"/>
      <c r="O106" s="234"/>
      <c r="P106" s="234"/>
      <c r="Q106" s="234"/>
      <c r="R106" s="234"/>
    </row>
    <row r="107" spans="1:18" s="235" customFormat="1" ht="15.75" customHeight="1">
      <c r="A107" s="89"/>
      <c r="B107" s="271" t="s">
        <v>134</v>
      </c>
      <c r="C107" s="89"/>
      <c r="D107" s="89" t="s">
        <v>133</v>
      </c>
      <c r="E107" s="272"/>
      <c r="F107" s="272">
        <v>5972.53</v>
      </c>
      <c r="G107" s="272"/>
      <c r="H107" s="272"/>
      <c r="I107" s="304"/>
      <c r="J107" s="300" t="e">
        <f t="shared" si="4"/>
        <v>#DIV/0!</v>
      </c>
      <c r="K107" s="300" t="e">
        <f t="shared" si="5"/>
        <v>#DIV/0!</v>
      </c>
      <c r="L107" s="234"/>
      <c r="M107" s="234"/>
      <c r="N107" s="234"/>
      <c r="O107" s="234"/>
      <c r="P107" s="234"/>
      <c r="Q107" s="234"/>
      <c r="R107" s="234"/>
    </row>
    <row r="108" spans="1:18" s="236" customFormat="1" ht="15.75" customHeight="1">
      <c r="A108" s="264"/>
      <c r="B108" s="273">
        <v>313</v>
      </c>
      <c r="C108" s="264"/>
      <c r="D108" s="264" t="s">
        <v>135</v>
      </c>
      <c r="E108" s="35">
        <f>E109+E110</f>
        <v>0</v>
      </c>
      <c r="F108" s="35">
        <f>F109+F110</f>
        <v>19244.809999999998</v>
      </c>
      <c r="G108" s="35">
        <f>SUM(G110:G110)</f>
        <v>6000</v>
      </c>
      <c r="H108" s="35">
        <f>SUM(H110:H110)</f>
        <v>0</v>
      </c>
      <c r="I108" s="302"/>
      <c r="J108" s="300">
        <f t="shared" si="4"/>
        <v>0</v>
      </c>
      <c r="K108" s="300" t="e">
        <f t="shared" si="5"/>
        <v>#DIV/0!</v>
      </c>
      <c r="L108" s="246"/>
      <c r="M108" s="246"/>
      <c r="N108" s="246"/>
      <c r="O108" s="246"/>
      <c r="P108" s="246"/>
      <c r="Q108" s="246"/>
      <c r="R108" s="246"/>
    </row>
    <row r="109" spans="1:18" s="236" customFormat="1" ht="15.75" customHeight="1">
      <c r="A109" s="264"/>
      <c r="B109" s="274" t="s">
        <v>260</v>
      </c>
      <c r="C109" s="89"/>
      <c r="D109" s="89" t="s">
        <v>261</v>
      </c>
      <c r="E109" s="37">
        <v>0</v>
      </c>
      <c r="F109" s="37">
        <v>9954.21</v>
      </c>
      <c r="G109" s="37"/>
      <c r="H109" s="37"/>
      <c r="I109" s="302"/>
      <c r="J109" s="300"/>
      <c r="K109" s="300"/>
      <c r="L109" s="246"/>
      <c r="M109" s="246"/>
      <c r="N109" s="246"/>
      <c r="O109" s="246"/>
      <c r="P109" s="246"/>
      <c r="Q109" s="246"/>
      <c r="R109" s="246"/>
    </row>
    <row r="110" spans="1:18" s="236" customFormat="1" ht="15.75" customHeight="1">
      <c r="A110" s="89"/>
      <c r="B110" s="274">
        <v>3132</v>
      </c>
      <c r="C110" s="89"/>
      <c r="D110" s="89" t="s">
        <v>136</v>
      </c>
      <c r="E110" s="37">
        <v>0</v>
      </c>
      <c r="F110" s="37">
        <v>9290.6</v>
      </c>
      <c r="G110" s="37">
        <v>6000</v>
      </c>
      <c r="H110" s="272"/>
      <c r="I110" s="302"/>
      <c r="J110" s="300">
        <f aca="true" t="shared" si="7" ref="J110:J173">SUM(H110/G110*100)</f>
        <v>0</v>
      </c>
      <c r="K110" s="300" t="e">
        <f aca="true" t="shared" si="8" ref="K110:K173">SUM(H110/E110*100)</f>
        <v>#DIV/0!</v>
      </c>
      <c r="L110" s="246"/>
      <c r="M110" s="246"/>
      <c r="N110" s="246"/>
      <c r="O110" s="246"/>
      <c r="P110" s="246"/>
      <c r="Q110" s="246"/>
      <c r="R110" s="246"/>
    </row>
    <row r="111" spans="1:18" s="236" customFormat="1" ht="32.25" customHeight="1">
      <c r="A111" s="264"/>
      <c r="B111" s="265">
        <v>32</v>
      </c>
      <c r="C111" s="266"/>
      <c r="D111" s="267" t="s">
        <v>137</v>
      </c>
      <c r="E111" s="268">
        <f>E112+E117+E124+E134</f>
        <v>1100992.51</v>
      </c>
      <c r="F111" s="268">
        <f>F112+F117+F124+F134</f>
        <v>1069082.22</v>
      </c>
      <c r="G111" s="268">
        <f>G112+G117+G124+G134</f>
        <v>1649800</v>
      </c>
      <c r="H111" s="268">
        <f>H112+H117+H124+H134</f>
        <v>1692502.8499999999</v>
      </c>
      <c r="I111" s="301">
        <f>SUM(H111/E111*100)</f>
        <v>153.72519200879938</v>
      </c>
      <c r="J111" s="300">
        <f t="shared" si="7"/>
        <v>102.5883652563947</v>
      </c>
      <c r="K111" s="300">
        <f t="shared" si="8"/>
        <v>153.72519200879938</v>
      </c>
      <c r="L111" s="246"/>
      <c r="M111" s="246"/>
      <c r="N111" s="246"/>
      <c r="O111" s="246"/>
      <c r="P111" s="246"/>
      <c r="Q111" s="246"/>
      <c r="R111" s="246"/>
    </row>
    <row r="112" spans="1:18" s="236" customFormat="1" ht="15.75" customHeight="1">
      <c r="A112" s="264"/>
      <c r="B112" s="269">
        <v>321</v>
      </c>
      <c r="C112" s="264"/>
      <c r="D112" s="264" t="s">
        <v>138</v>
      </c>
      <c r="E112" s="270">
        <f>SUM(E113:E116)</f>
        <v>0</v>
      </c>
      <c r="F112" s="270">
        <f>SUM(F113:F116)</f>
        <v>9290.6</v>
      </c>
      <c r="G112" s="270">
        <f>SUM(G113:G116)</f>
        <v>5000</v>
      </c>
      <c r="H112" s="270">
        <f>SUM(H113:H116)</f>
        <v>0</v>
      </c>
      <c r="I112" s="302"/>
      <c r="J112" s="300">
        <f t="shared" si="7"/>
        <v>0</v>
      </c>
      <c r="K112" s="300" t="e">
        <f t="shared" si="8"/>
        <v>#DIV/0!</v>
      </c>
      <c r="L112" s="246"/>
      <c r="M112" s="246"/>
      <c r="N112" s="246"/>
      <c r="O112" s="246"/>
      <c r="P112" s="246"/>
      <c r="Q112" s="246"/>
      <c r="R112" s="246"/>
    </row>
    <row r="113" spans="1:18" s="236" customFormat="1" ht="15.75" customHeight="1">
      <c r="A113" s="89"/>
      <c r="B113" s="271" t="s">
        <v>139</v>
      </c>
      <c r="C113" s="89"/>
      <c r="D113" s="89" t="s">
        <v>140</v>
      </c>
      <c r="E113" s="272"/>
      <c r="F113" s="272"/>
      <c r="G113" s="272"/>
      <c r="H113" s="272"/>
      <c r="I113" s="302"/>
      <c r="J113" s="300" t="e">
        <f t="shared" si="7"/>
        <v>#DIV/0!</v>
      </c>
      <c r="K113" s="300" t="e">
        <f t="shared" si="8"/>
        <v>#DIV/0!</v>
      </c>
      <c r="L113" s="246"/>
      <c r="M113" s="246"/>
      <c r="N113" s="246"/>
      <c r="O113" s="246"/>
      <c r="P113" s="246"/>
      <c r="Q113" s="246"/>
      <c r="R113" s="246"/>
    </row>
    <row r="114" spans="1:18" s="236" customFormat="1" ht="15.75" customHeight="1">
      <c r="A114" s="89"/>
      <c r="B114" s="271" t="s">
        <v>141</v>
      </c>
      <c r="C114" s="89"/>
      <c r="D114" s="275" t="s">
        <v>142</v>
      </c>
      <c r="E114" s="272"/>
      <c r="F114" s="272">
        <v>9290.6</v>
      </c>
      <c r="G114" s="272">
        <v>5000</v>
      </c>
      <c r="H114" s="272"/>
      <c r="I114" s="302"/>
      <c r="J114" s="300">
        <f t="shared" si="7"/>
        <v>0</v>
      </c>
      <c r="K114" s="300" t="e">
        <f t="shared" si="8"/>
        <v>#DIV/0!</v>
      </c>
      <c r="L114" s="246"/>
      <c r="M114" s="246"/>
      <c r="N114" s="246"/>
      <c r="O114" s="246"/>
      <c r="P114" s="246"/>
      <c r="Q114" s="246"/>
      <c r="R114" s="246"/>
    </row>
    <row r="115" spans="1:18" s="236" customFormat="1" ht="15.75" customHeight="1">
      <c r="A115" s="89"/>
      <c r="B115" s="271" t="s">
        <v>143</v>
      </c>
      <c r="C115" s="89"/>
      <c r="D115" s="275" t="s">
        <v>144</v>
      </c>
      <c r="E115" s="272"/>
      <c r="F115" s="272"/>
      <c r="G115" s="272"/>
      <c r="H115" s="272"/>
      <c r="I115" s="302"/>
      <c r="J115" s="300" t="e">
        <f t="shared" si="7"/>
        <v>#DIV/0!</v>
      </c>
      <c r="K115" s="300" t="e">
        <f t="shared" si="8"/>
        <v>#DIV/0!</v>
      </c>
      <c r="L115" s="246"/>
      <c r="M115" s="246"/>
      <c r="N115" s="246"/>
      <c r="O115" s="246"/>
      <c r="P115" s="246"/>
      <c r="Q115" s="246"/>
      <c r="R115" s="246"/>
    </row>
    <row r="116" spans="1:18" s="236" customFormat="1" ht="15.75" customHeight="1">
      <c r="A116" s="89"/>
      <c r="B116" s="271" t="s">
        <v>145</v>
      </c>
      <c r="C116" s="89"/>
      <c r="D116" s="275" t="s">
        <v>146</v>
      </c>
      <c r="E116" s="272"/>
      <c r="F116" s="272"/>
      <c r="G116" s="272"/>
      <c r="H116" s="272"/>
      <c r="I116" s="302"/>
      <c r="J116" s="300" t="e">
        <f t="shared" si="7"/>
        <v>#DIV/0!</v>
      </c>
      <c r="K116" s="300" t="e">
        <f t="shared" si="8"/>
        <v>#DIV/0!</v>
      </c>
      <c r="L116" s="246"/>
      <c r="M116" s="246"/>
      <c r="N116" s="246"/>
      <c r="O116" s="246"/>
      <c r="P116" s="246"/>
      <c r="Q116" s="246"/>
      <c r="R116" s="246"/>
    </row>
    <row r="117" spans="1:18" s="236" customFormat="1" ht="15.75" customHeight="1">
      <c r="A117" s="264"/>
      <c r="B117" s="269" t="s">
        <v>147</v>
      </c>
      <c r="C117" s="264"/>
      <c r="D117" s="276" t="s">
        <v>148</v>
      </c>
      <c r="E117" s="270">
        <f>SUM(E118:E123)</f>
        <v>1020488.28</v>
      </c>
      <c r="F117" s="270">
        <f>SUM(F118:F123)</f>
        <v>988784.93</v>
      </c>
      <c r="G117" s="270">
        <f>SUM(G118:G123)</f>
        <v>1627800</v>
      </c>
      <c r="H117" s="270">
        <f>SUM(H118:H123)</f>
        <v>1687141.5599999998</v>
      </c>
      <c r="I117" s="302"/>
      <c r="J117" s="300">
        <f t="shared" si="7"/>
        <v>103.64550681901952</v>
      </c>
      <c r="K117" s="300">
        <f t="shared" si="8"/>
        <v>165.3268923382442</v>
      </c>
      <c r="L117" s="246"/>
      <c r="M117" s="246"/>
      <c r="N117" s="246"/>
      <c r="O117" s="246"/>
      <c r="P117" s="246"/>
      <c r="Q117" s="246"/>
      <c r="R117" s="246"/>
    </row>
    <row r="118" spans="1:18" s="236" customFormat="1" ht="15.75" customHeight="1">
      <c r="A118" s="264"/>
      <c r="B118" s="271" t="s">
        <v>149</v>
      </c>
      <c r="C118" s="264"/>
      <c r="D118" s="89" t="s">
        <v>150</v>
      </c>
      <c r="E118" s="272"/>
      <c r="F118" s="272"/>
      <c r="G118" s="272"/>
      <c r="H118" s="272"/>
      <c r="I118" s="302"/>
      <c r="J118" s="300" t="e">
        <f t="shared" si="7"/>
        <v>#DIV/0!</v>
      </c>
      <c r="K118" s="300" t="e">
        <f t="shared" si="8"/>
        <v>#DIV/0!</v>
      </c>
      <c r="L118" s="246"/>
      <c r="M118" s="246"/>
      <c r="N118" s="246"/>
      <c r="O118" s="246"/>
      <c r="P118" s="246"/>
      <c r="Q118" s="246"/>
      <c r="R118" s="246"/>
    </row>
    <row r="119" spans="1:18" s="235" customFormat="1" ht="15.75" customHeight="1">
      <c r="A119" s="264"/>
      <c r="B119" s="271" t="s">
        <v>151</v>
      </c>
      <c r="C119" s="264"/>
      <c r="D119" s="89" t="s">
        <v>152</v>
      </c>
      <c r="E119" s="272">
        <v>1020488.28</v>
      </c>
      <c r="F119" s="272">
        <v>868670.78</v>
      </c>
      <c r="G119" s="272">
        <v>1502800</v>
      </c>
      <c r="H119" s="272">
        <v>1562040.42</v>
      </c>
      <c r="I119" s="302"/>
      <c r="J119" s="300">
        <f t="shared" si="7"/>
        <v>103.94200292786797</v>
      </c>
      <c r="K119" s="300">
        <f t="shared" si="8"/>
        <v>153.06794312228652</v>
      </c>
      <c r="L119" s="234"/>
      <c r="M119" s="234"/>
      <c r="N119" s="234"/>
      <c r="O119" s="234"/>
      <c r="P119" s="234"/>
      <c r="Q119" s="234"/>
      <c r="R119" s="234"/>
    </row>
    <row r="120" spans="1:18" s="235" customFormat="1" ht="15">
      <c r="A120" s="264"/>
      <c r="B120" s="271" t="s">
        <v>153</v>
      </c>
      <c r="C120" s="264"/>
      <c r="D120" s="89" t="s">
        <v>154</v>
      </c>
      <c r="E120" s="272"/>
      <c r="F120" s="272">
        <v>120114.15</v>
      </c>
      <c r="G120" s="272">
        <v>125000</v>
      </c>
      <c r="H120" s="272">
        <v>125101.14</v>
      </c>
      <c r="I120" s="302"/>
      <c r="J120" s="300">
        <f t="shared" si="7"/>
        <v>100.080912</v>
      </c>
      <c r="K120" s="300" t="e">
        <f t="shared" si="8"/>
        <v>#DIV/0!</v>
      </c>
      <c r="L120" s="234"/>
      <c r="M120" s="234"/>
      <c r="N120" s="234"/>
      <c r="O120" s="234"/>
      <c r="P120" s="234"/>
      <c r="Q120" s="234"/>
      <c r="R120" s="234"/>
    </row>
    <row r="121" spans="1:18" s="236" customFormat="1" ht="15">
      <c r="A121" s="264"/>
      <c r="B121" s="271" t="s">
        <v>155</v>
      </c>
      <c r="C121" s="264"/>
      <c r="D121" s="275" t="s">
        <v>156</v>
      </c>
      <c r="E121" s="272"/>
      <c r="F121" s="272"/>
      <c r="G121" s="272"/>
      <c r="H121" s="272"/>
      <c r="I121" s="302"/>
      <c r="J121" s="300" t="e">
        <f t="shared" si="7"/>
        <v>#DIV/0!</v>
      </c>
      <c r="K121" s="300" t="e">
        <f t="shared" si="8"/>
        <v>#DIV/0!</v>
      </c>
      <c r="L121" s="246"/>
      <c r="M121" s="246"/>
      <c r="N121" s="246"/>
      <c r="O121" s="246"/>
      <c r="P121" s="246"/>
      <c r="Q121" s="246"/>
      <c r="R121" s="246"/>
    </row>
    <row r="122" spans="1:18" s="236" customFormat="1" ht="15">
      <c r="A122" s="264"/>
      <c r="B122" s="271" t="s">
        <v>157</v>
      </c>
      <c r="C122" s="264"/>
      <c r="D122" s="275" t="s">
        <v>158</v>
      </c>
      <c r="E122" s="272"/>
      <c r="F122" s="272"/>
      <c r="G122" s="272"/>
      <c r="H122" s="272"/>
      <c r="I122" s="302"/>
      <c r="J122" s="300" t="e">
        <f t="shared" si="7"/>
        <v>#DIV/0!</v>
      </c>
      <c r="K122" s="300" t="e">
        <f t="shared" si="8"/>
        <v>#DIV/0!</v>
      </c>
      <c r="L122" s="246"/>
      <c r="M122" s="246"/>
      <c r="N122" s="246"/>
      <c r="O122" s="246"/>
      <c r="P122" s="246"/>
      <c r="Q122" s="246"/>
      <c r="R122" s="246"/>
    </row>
    <row r="123" spans="1:18" s="236" customFormat="1" ht="15">
      <c r="A123" s="264"/>
      <c r="B123" s="271" t="s">
        <v>159</v>
      </c>
      <c r="C123" s="264"/>
      <c r="D123" s="275" t="s">
        <v>160</v>
      </c>
      <c r="E123" s="272"/>
      <c r="F123" s="272"/>
      <c r="G123" s="272"/>
      <c r="H123" s="272"/>
      <c r="I123" s="302"/>
      <c r="J123" s="300" t="e">
        <f t="shared" si="7"/>
        <v>#DIV/0!</v>
      </c>
      <c r="K123" s="300" t="e">
        <f t="shared" si="8"/>
        <v>#DIV/0!</v>
      </c>
      <c r="L123" s="246"/>
      <c r="M123" s="246"/>
      <c r="N123" s="246"/>
      <c r="O123" s="246"/>
      <c r="P123" s="246"/>
      <c r="Q123" s="246"/>
      <c r="R123" s="246"/>
    </row>
    <row r="124" spans="1:18" s="236" customFormat="1" ht="15">
      <c r="A124" s="264"/>
      <c r="B124" s="269" t="s">
        <v>161</v>
      </c>
      <c r="C124" s="264"/>
      <c r="D124" s="276" t="s">
        <v>162</v>
      </c>
      <c r="E124" s="270">
        <f>E125+E126+E131+E133</f>
        <v>75858.93000000001</v>
      </c>
      <c r="F124" s="270">
        <f>SUM(F125:F133)</f>
        <v>27208.170000000002</v>
      </c>
      <c r="G124" s="270">
        <f>SUM(G125:G133)</f>
        <v>5000</v>
      </c>
      <c r="H124" s="270">
        <f>SUM(H125:H133)</f>
        <v>0</v>
      </c>
      <c r="I124" s="302"/>
      <c r="J124" s="300">
        <f t="shared" si="7"/>
        <v>0</v>
      </c>
      <c r="K124" s="300">
        <f t="shared" si="8"/>
        <v>0</v>
      </c>
      <c r="L124" s="246"/>
      <c r="M124" s="246"/>
      <c r="N124" s="246"/>
      <c r="O124" s="246"/>
      <c r="P124" s="246"/>
      <c r="Q124" s="246"/>
      <c r="R124" s="246"/>
    </row>
    <row r="125" spans="1:18" s="236" customFormat="1" ht="15">
      <c r="A125" s="264"/>
      <c r="B125" s="271" t="s">
        <v>163</v>
      </c>
      <c r="C125" s="264"/>
      <c r="D125" s="275" t="s">
        <v>164</v>
      </c>
      <c r="E125" s="272">
        <v>106.18</v>
      </c>
      <c r="F125" s="272"/>
      <c r="G125" s="272"/>
      <c r="H125" s="272"/>
      <c r="I125" s="302"/>
      <c r="J125" s="300" t="e">
        <f t="shared" si="7"/>
        <v>#DIV/0!</v>
      </c>
      <c r="K125" s="300">
        <f t="shared" si="8"/>
        <v>0</v>
      </c>
      <c r="L125" s="246"/>
      <c r="M125" s="246"/>
      <c r="N125" s="246"/>
      <c r="O125" s="246"/>
      <c r="P125" s="246"/>
      <c r="Q125" s="246"/>
      <c r="R125" s="246"/>
    </row>
    <row r="126" spans="1:18" s="236" customFormat="1" ht="15">
      <c r="A126" s="264"/>
      <c r="B126" s="271" t="s">
        <v>165</v>
      </c>
      <c r="C126" s="264"/>
      <c r="D126" s="275" t="s">
        <v>166</v>
      </c>
      <c r="E126" s="272">
        <v>29830.65</v>
      </c>
      <c r="F126" s="272">
        <v>26544.56</v>
      </c>
      <c r="G126" s="272"/>
      <c r="H126" s="272"/>
      <c r="I126" s="302"/>
      <c r="J126" s="300" t="e">
        <f t="shared" si="7"/>
        <v>#DIV/0!</v>
      </c>
      <c r="K126" s="300">
        <f t="shared" si="8"/>
        <v>0</v>
      </c>
      <c r="L126" s="246"/>
      <c r="M126" s="246"/>
      <c r="N126" s="246"/>
      <c r="O126" s="246"/>
      <c r="P126" s="246"/>
      <c r="Q126" s="246"/>
      <c r="R126" s="246"/>
    </row>
    <row r="127" spans="1:18" s="236" customFormat="1" ht="15">
      <c r="A127" s="264"/>
      <c r="B127" s="271" t="s">
        <v>167</v>
      </c>
      <c r="C127" s="264"/>
      <c r="D127" s="275" t="s">
        <v>168</v>
      </c>
      <c r="E127" s="272"/>
      <c r="F127" s="272">
        <v>663.61</v>
      </c>
      <c r="G127" s="272">
        <v>5000</v>
      </c>
      <c r="H127" s="272"/>
      <c r="I127" s="302"/>
      <c r="J127" s="300">
        <f t="shared" si="7"/>
        <v>0</v>
      </c>
      <c r="K127" s="300" t="e">
        <f t="shared" si="8"/>
        <v>#DIV/0!</v>
      </c>
      <c r="L127" s="246"/>
      <c r="M127" s="246"/>
      <c r="N127" s="246"/>
      <c r="O127" s="246"/>
      <c r="P127" s="246"/>
      <c r="Q127" s="246"/>
      <c r="R127" s="246"/>
    </row>
    <row r="128" spans="1:18" s="236" customFormat="1" ht="15">
      <c r="A128" s="264"/>
      <c r="B128" s="277" t="s">
        <v>169</v>
      </c>
      <c r="C128" s="278"/>
      <c r="D128" s="279" t="s">
        <v>170</v>
      </c>
      <c r="E128" s="272"/>
      <c r="F128" s="272"/>
      <c r="G128" s="272"/>
      <c r="H128" s="272"/>
      <c r="I128" s="302"/>
      <c r="J128" s="300" t="e">
        <f t="shared" si="7"/>
        <v>#DIV/0!</v>
      </c>
      <c r="K128" s="300" t="e">
        <f t="shared" si="8"/>
        <v>#DIV/0!</v>
      </c>
      <c r="L128" s="246"/>
      <c r="M128" s="246"/>
      <c r="N128" s="246"/>
      <c r="O128" s="246"/>
      <c r="P128" s="246"/>
      <c r="Q128" s="246"/>
      <c r="R128" s="246"/>
    </row>
    <row r="129" spans="1:18" s="236" customFormat="1" ht="15">
      <c r="A129" s="264"/>
      <c r="B129" s="277">
        <v>3235</v>
      </c>
      <c r="C129" s="278"/>
      <c r="D129" s="279" t="s">
        <v>171</v>
      </c>
      <c r="E129" s="272"/>
      <c r="F129" s="272"/>
      <c r="G129" s="272"/>
      <c r="H129" s="272"/>
      <c r="I129" s="302"/>
      <c r="J129" s="300" t="e">
        <f t="shared" si="7"/>
        <v>#DIV/0!</v>
      </c>
      <c r="K129" s="300" t="e">
        <f t="shared" si="8"/>
        <v>#DIV/0!</v>
      </c>
      <c r="L129" s="246"/>
      <c r="M129" s="246"/>
      <c r="N129" s="246"/>
      <c r="O129" s="246"/>
      <c r="P129" s="246"/>
      <c r="Q129" s="246"/>
      <c r="R129" s="246"/>
    </row>
    <row r="130" spans="1:18" s="236" customFormat="1" ht="15">
      <c r="A130" s="264"/>
      <c r="B130" s="277">
        <v>3236</v>
      </c>
      <c r="C130" s="278"/>
      <c r="D130" s="279" t="s">
        <v>172</v>
      </c>
      <c r="E130" s="272"/>
      <c r="F130" s="272"/>
      <c r="G130" s="272"/>
      <c r="H130" s="272"/>
      <c r="I130" s="302"/>
      <c r="J130" s="300" t="e">
        <f t="shared" si="7"/>
        <v>#DIV/0!</v>
      </c>
      <c r="K130" s="300" t="e">
        <f t="shared" si="8"/>
        <v>#DIV/0!</v>
      </c>
      <c r="L130" s="246"/>
      <c r="M130" s="246"/>
      <c r="N130" s="246"/>
      <c r="O130" s="246"/>
      <c r="P130" s="246"/>
      <c r="Q130" s="246"/>
      <c r="R130" s="246"/>
    </row>
    <row r="131" spans="1:18" s="236" customFormat="1" ht="15">
      <c r="A131" s="264"/>
      <c r="B131" s="277">
        <v>3237</v>
      </c>
      <c r="C131" s="278"/>
      <c r="D131" s="279" t="s">
        <v>173</v>
      </c>
      <c r="E131" s="272">
        <v>29597.19</v>
      </c>
      <c r="F131" s="272"/>
      <c r="G131" s="272"/>
      <c r="H131" s="272"/>
      <c r="I131" s="302"/>
      <c r="J131" s="300" t="e">
        <f t="shared" si="7"/>
        <v>#DIV/0!</v>
      </c>
      <c r="K131" s="300">
        <f t="shared" si="8"/>
        <v>0</v>
      </c>
      <c r="L131" s="246"/>
      <c r="M131" s="246"/>
      <c r="N131" s="246"/>
      <c r="O131" s="246"/>
      <c r="P131" s="246"/>
      <c r="Q131" s="246"/>
      <c r="R131" s="246"/>
    </row>
    <row r="132" spans="1:18" s="236" customFormat="1" ht="15">
      <c r="A132" s="264"/>
      <c r="B132" s="277" t="s">
        <v>174</v>
      </c>
      <c r="C132" s="278"/>
      <c r="D132" s="279" t="s">
        <v>175</v>
      </c>
      <c r="E132" s="272"/>
      <c r="F132" s="272"/>
      <c r="G132" s="272"/>
      <c r="H132" s="272"/>
      <c r="I132" s="302"/>
      <c r="J132" s="300" t="e">
        <f t="shared" si="7"/>
        <v>#DIV/0!</v>
      </c>
      <c r="K132" s="300" t="e">
        <f t="shared" si="8"/>
        <v>#DIV/0!</v>
      </c>
      <c r="L132" s="246"/>
      <c r="M132" s="246"/>
      <c r="N132" s="246"/>
      <c r="O132" s="246"/>
      <c r="P132" s="246"/>
      <c r="Q132" s="246"/>
      <c r="R132" s="246"/>
    </row>
    <row r="133" spans="1:18" s="236" customFormat="1" ht="13.5" customHeight="1">
      <c r="A133" s="89"/>
      <c r="B133" s="277" t="s">
        <v>176</v>
      </c>
      <c r="C133" s="278"/>
      <c r="D133" s="279" t="s">
        <v>177</v>
      </c>
      <c r="E133" s="272">
        <v>16324.91</v>
      </c>
      <c r="F133" s="272"/>
      <c r="G133" s="272"/>
      <c r="H133" s="272"/>
      <c r="I133" s="302"/>
      <c r="J133" s="300" t="e">
        <f t="shared" si="7"/>
        <v>#DIV/0!</v>
      </c>
      <c r="K133" s="300">
        <f t="shared" si="8"/>
        <v>0</v>
      </c>
      <c r="L133" s="246"/>
      <c r="M133" s="246"/>
      <c r="N133" s="246"/>
      <c r="O133" s="246"/>
      <c r="P133" s="246"/>
      <c r="Q133" s="246"/>
      <c r="R133" s="246"/>
    </row>
    <row r="134" spans="1:18" s="235" customFormat="1" ht="15">
      <c r="A134" s="89"/>
      <c r="B134" s="283">
        <v>329</v>
      </c>
      <c r="C134" s="280"/>
      <c r="D134" s="284" t="s">
        <v>179</v>
      </c>
      <c r="E134" s="270">
        <f>SUM(E135:E141)</f>
        <v>4645.3</v>
      </c>
      <c r="F134" s="270">
        <f>SUM(F135:F141)</f>
        <v>43798.52</v>
      </c>
      <c r="G134" s="270">
        <f>SUM(G135:G141)</f>
        <v>12000</v>
      </c>
      <c r="H134" s="270">
        <f>SUM(H135:H141)</f>
        <v>5361.29</v>
      </c>
      <c r="I134" s="302"/>
      <c r="J134" s="300">
        <f t="shared" si="7"/>
        <v>44.677416666666666</v>
      </c>
      <c r="K134" s="300">
        <f t="shared" si="8"/>
        <v>115.41321335543454</v>
      </c>
      <c r="L134" s="234"/>
      <c r="M134" s="234"/>
      <c r="N134" s="234"/>
      <c r="O134" s="234"/>
      <c r="P134" s="234"/>
      <c r="Q134" s="234"/>
      <c r="R134" s="234"/>
    </row>
    <row r="135" spans="1:18" s="235" customFormat="1" ht="30">
      <c r="A135" s="89"/>
      <c r="B135" s="277" t="s">
        <v>180</v>
      </c>
      <c r="C135" s="278"/>
      <c r="D135" s="282" t="s">
        <v>181</v>
      </c>
      <c r="E135" s="272">
        <v>663.62</v>
      </c>
      <c r="F135" s="272"/>
      <c r="G135" s="272"/>
      <c r="H135" s="272"/>
      <c r="I135" s="302"/>
      <c r="J135" s="300" t="e">
        <f t="shared" si="7"/>
        <v>#DIV/0!</v>
      </c>
      <c r="K135" s="300">
        <f t="shared" si="8"/>
        <v>0</v>
      </c>
      <c r="L135" s="234"/>
      <c r="M135" s="234"/>
      <c r="N135" s="234"/>
      <c r="O135" s="234"/>
      <c r="P135" s="234"/>
      <c r="Q135" s="234"/>
      <c r="R135" s="234"/>
    </row>
    <row r="136" spans="1:18" s="235" customFormat="1" ht="15">
      <c r="A136" s="89"/>
      <c r="B136" s="277">
        <v>3292</v>
      </c>
      <c r="C136" s="278"/>
      <c r="D136" s="279" t="s">
        <v>182</v>
      </c>
      <c r="E136" s="272"/>
      <c r="F136" s="272"/>
      <c r="G136" s="272"/>
      <c r="H136" s="272"/>
      <c r="I136" s="302"/>
      <c r="J136" s="300" t="e">
        <f t="shared" si="7"/>
        <v>#DIV/0!</v>
      </c>
      <c r="K136" s="300" t="e">
        <f t="shared" si="8"/>
        <v>#DIV/0!</v>
      </c>
      <c r="L136" s="234"/>
      <c r="M136" s="234"/>
      <c r="N136" s="234"/>
      <c r="O136" s="234"/>
      <c r="P136" s="234"/>
      <c r="Q136" s="234"/>
      <c r="R136" s="234"/>
    </row>
    <row r="137" spans="1:18" s="235" customFormat="1" ht="15">
      <c r="A137" s="89"/>
      <c r="B137" s="277">
        <v>3293</v>
      </c>
      <c r="C137" s="278"/>
      <c r="D137" s="279" t="s">
        <v>183</v>
      </c>
      <c r="E137" s="272">
        <v>3981.68</v>
      </c>
      <c r="F137" s="272">
        <v>3981.68</v>
      </c>
      <c r="G137" s="272">
        <v>4000</v>
      </c>
      <c r="H137" s="272"/>
      <c r="I137" s="302"/>
      <c r="J137" s="300">
        <f t="shared" si="7"/>
        <v>0</v>
      </c>
      <c r="K137" s="300">
        <f t="shared" si="8"/>
        <v>0</v>
      </c>
      <c r="L137" s="234"/>
      <c r="M137" s="234"/>
      <c r="N137" s="234"/>
      <c r="O137" s="234"/>
      <c r="P137" s="234"/>
      <c r="Q137" s="234"/>
      <c r="R137" s="234"/>
    </row>
    <row r="138" spans="1:18" s="240" customFormat="1" ht="15">
      <c r="A138" s="89"/>
      <c r="B138" s="277">
        <v>3294</v>
      </c>
      <c r="C138" s="278"/>
      <c r="D138" s="279" t="s">
        <v>184</v>
      </c>
      <c r="E138" s="272"/>
      <c r="F138" s="272"/>
      <c r="G138" s="272"/>
      <c r="H138" s="272"/>
      <c r="I138" s="302"/>
      <c r="J138" s="300" t="e">
        <f t="shared" si="7"/>
        <v>#DIV/0!</v>
      </c>
      <c r="K138" s="300" t="e">
        <f t="shared" si="8"/>
        <v>#DIV/0!</v>
      </c>
      <c r="L138" s="351"/>
      <c r="M138" s="351"/>
      <c r="N138" s="351"/>
      <c r="O138" s="351"/>
      <c r="P138" s="351"/>
      <c r="Q138" s="351"/>
      <c r="R138" s="351"/>
    </row>
    <row r="139" spans="1:18" s="241" customFormat="1" ht="15">
      <c r="A139" s="89"/>
      <c r="B139" s="285">
        <v>3295</v>
      </c>
      <c r="C139" s="278"/>
      <c r="D139" s="286" t="s">
        <v>185</v>
      </c>
      <c r="E139" s="272"/>
      <c r="F139" s="272"/>
      <c r="G139" s="272"/>
      <c r="H139" s="272"/>
      <c r="I139" s="302"/>
      <c r="J139" s="300" t="e">
        <f t="shared" si="7"/>
        <v>#DIV/0!</v>
      </c>
      <c r="K139" s="300" t="e">
        <f t="shared" si="8"/>
        <v>#DIV/0!</v>
      </c>
      <c r="L139" s="352"/>
      <c r="M139" s="352"/>
      <c r="N139" s="352"/>
      <c r="O139" s="352"/>
      <c r="P139" s="352"/>
      <c r="Q139" s="352"/>
      <c r="R139" s="352"/>
    </row>
    <row r="140" spans="1:18" s="242" customFormat="1" ht="15">
      <c r="A140" s="89"/>
      <c r="B140" s="285">
        <v>3296</v>
      </c>
      <c r="C140" s="278"/>
      <c r="D140" s="286" t="s">
        <v>186</v>
      </c>
      <c r="E140" s="272"/>
      <c r="F140" s="272">
        <v>39816.84</v>
      </c>
      <c r="G140" s="272">
        <v>8000</v>
      </c>
      <c r="H140" s="272">
        <v>5361.29</v>
      </c>
      <c r="I140" s="302"/>
      <c r="J140" s="300">
        <f t="shared" si="7"/>
        <v>67.016125</v>
      </c>
      <c r="K140" s="300" t="e">
        <f t="shared" si="8"/>
        <v>#DIV/0!</v>
      </c>
      <c r="L140" s="353"/>
      <c r="M140" s="353"/>
      <c r="N140" s="353"/>
      <c r="O140" s="353"/>
      <c r="P140" s="353"/>
      <c r="Q140" s="353"/>
      <c r="R140" s="353"/>
    </row>
    <row r="141" spans="1:18" s="242" customFormat="1" ht="15">
      <c r="A141" s="89"/>
      <c r="B141" s="285" t="s">
        <v>187</v>
      </c>
      <c r="C141" s="278"/>
      <c r="D141" s="286" t="s">
        <v>179</v>
      </c>
      <c r="E141" s="272"/>
      <c r="F141" s="272"/>
      <c r="G141" s="272"/>
      <c r="H141" s="272"/>
      <c r="I141" s="302"/>
      <c r="J141" s="300" t="e">
        <f t="shared" si="7"/>
        <v>#DIV/0!</v>
      </c>
      <c r="K141" s="300" t="e">
        <f t="shared" si="8"/>
        <v>#DIV/0!</v>
      </c>
      <c r="L141" s="353"/>
      <c r="M141" s="353"/>
      <c r="N141" s="353"/>
      <c r="O141" s="353"/>
      <c r="P141" s="353"/>
      <c r="Q141" s="353"/>
      <c r="R141" s="353"/>
    </row>
    <row r="142" spans="1:18" s="242" customFormat="1" ht="15">
      <c r="A142" s="89"/>
      <c r="B142" s="265">
        <v>34</v>
      </c>
      <c r="C142" s="266"/>
      <c r="D142" s="267" t="s">
        <v>188</v>
      </c>
      <c r="E142" s="287">
        <f>SUM(E143)</f>
        <v>0</v>
      </c>
      <c r="F142" s="287">
        <f>SUM(F143)</f>
        <v>0</v>
      </c>
      <c r="G142" s="287">
        <f>SUM(G143)</f>
        <v>0</v>
      </c>
      <c r="H142" s="287">
        <f>SUM(H143)</f>
        <v>0</v>
      </c>
      <c r="I142" s="301" t="e">
        <f>SUM(H142/E142*100)</f>
        <v>#DIV/0!</v>
      </c>
      <c r="J142" s="300" t="e">
        <f t="shared" si="7"/>
        <v>#DIV/0!</v>
      </c>
      <c r="K142" s="300" t="e">
        <f t="shared" si="8"/>
        <v>#DIV/0!</v>
      </c>
      <c r="L142" s="353"/>
      <c r="M142" s="353"/>
      <c r="N142" s="353"/>
      <c r="O142" s="353"/>
      <c r="P142" s="353"/>
      <c r="Q142" s="353"/>
      <c r="R142" s="353"/>
    </row>
    <row r="143" spans="1:18" s="242" customFormat="1" ht="15">
      <c r="A143" s="89"/>
      <c r="B143" s="283">
        <v>343</v>
      </c>
      <c r="C143" s="280"/>
      <c r="D143" s="284" t="s">
        <v>189</v>
      </c>
      <c r="E143" s="270">
        <f>SUM(E144:E147)</f>
        <v>0</v>
      </c>
      <c r="F143" s="270">
        <f>SUM(F144:F147)</f>
        <v>0</v>
      </c>
      <c r="G143" s="270">
        <f>SUM(G144:G147)</f>
        <v>0</v>
      </c>
      <c r="H143" s="270">
        <f>SUM(H144:H147)</f>
        <v>0</v>
      </c>
      <c r="I143" s="302"/>
      <c r="J143" s="300" t="e">
        <f t="shared" si="7"/>
        <v>#DIV/0!</v>
      </c>
      <c r="K143" s="300" t="e">
        <f t="shared" si="8"/>
        <v>#DIV/0!</v>
      </c>
      <c r="L143" s="353"/>
      <c r="M143" s="353"/>
      <c r="N143" s="353"/>
      <c r="O143" s="353"/>
      <c r="P143" s="353"/>
      <c r="Q143" s="353"/>
      <c r="R143" s="353"/>
    </row>
    <row r="144" spans="1:18" s="243" customFormat="1" ht="15">
      <c r="A144" s="89"/>
      <c r="B144" s="277" t="s">
        <v>190</v>
      </c>
      <c r="C144" s="278"/>
      <c r="D144" s="279" t="s">
        <v>191</v>
      </c>
      <c r="E144" s="272"/>
      <c r="F144" s="272"/>
      <c r="G144" s="272"/>
      <c r="H144" s="272"/>
      <c r="I144" s="302"/>
      <c r="J144" s="300" t="e">
        <f t="shared" si="7"/>
        <v>#DIV/0!</v>
      </c>
      <c r="K144" s="300" t="e">
        <f t="shared" si="8"/>
        <v>#DIV/0!</v>
      </c>
      <c r="L144" s="354"/>
      <c r="M144" s="354"/>
      <c r="N144" s="354"/>
      <c r="O144" s="354"/>
      <c r="P144" s="354"/>
      <c r="Q144" s="354"/>
      <c r="R144" s="354"/>
    </row>
    <row r="145" spans="1:18" s="243" customFormat="1" ht="15">
      <c r="A145" s="89"/>
      <c r="B145" s="277">
        <v>3432</v>
      </c>
      <c r="C145" s="278"/>
      <c r="D145" s="279" t="s">
        <v>240</v>
      </c>
      <c r="E145" s="272"/>
      <c r="F145" s="272"/>
      <c r="G145" s="272"/>
      <c r="H145" s="272"/>
      <c r="I145" s="302"/>
      <c r="J145" s="300" t="e">
        <f t="shared" si="7"/>
        <v>#DIV/0!</v>
      </c>
      <c r="K145" s="300" t="e">
        <f t="shared" si="8"/>
        <v>#DIV/0!</v>
      </c>
      <c r="L145" s="354"/>
      <c r="M145" s="354"/>
      <c r="N145" s="354"/>
      <c r="O145" s="354"/>
      <c r="P145" s="354"/>
      <c r="Q145" s="354"/>
      <c r="R145" s="354"/>
    </row>
    <row r="146" spans="1:18" s="240" customFormat="1" ht="15">
      <c r="A146" s="89"/>
      <c r="B146" s="285">
        <v>3433</v>
      </c>
      <c r="C146" s="278"/>
      <c r="D146" s="286" t="s">
        <v>192</v>
      </c>
      <c r="E146" s="272"/>
      <c r="F146" s="272"/>
      <c r="G146" s="272"/>
      <c r="H146" s="272"/>
      <c r="I146" s="302"/>
      <c r="J146" s="300" t="e">
        <f t="shared" si="7"/>
        <v>#DIV/0!</v>
      </c>
      <c r="K146" s="300" t="e">
        <f t="shared" si="8"/>
        <v>#DIV/0!</v>
      </c>
      <c r="L146" s="351"/>
      <c r="M146" s="351"/>
      <c r="N146" s="351"/>
      <c r="O146" s="351"/>
      <c r="P146" s="351"/>
      <c r="Q146" s="351"/>
      <c r="R146" s="351"/>
    </row>
    <row r="147" spans="1:18" s="240" customFormat="1" ht="15">
      <c r="A147" s="89"/>
      <c r="B147" s="285">
        <v>3434</v>
      </c>
      <c r="C147" s="278"/>
      <c r="D147" s="286" t="s">
        <v>193</v>
      </c>
      <c r="E147" s="272"/>
      <c r="F147" s="272"/>
      <c r="G147" s="272"/>
      <c r="H147" s="272"/>
      <c r="I147" s="302"/>
      <c r="J147" s="300" t="e">
        <f t="shared" si="7"/>
        <v>#DIV/0!</v>
      </c>
      <c r="K147" s="300" t="e">
        <f t="shared" si="8"/>
        <v>#DIV/0!</v>
      </c>
      <c r="L147" s="351"/>
      <c r="M147" s="351"/>
      <c r="N147" s="351"/>
      <c r="O147" s="351"/>
      <c r="P147" s="351"/>
      <c r="Q147" s="351"/>
      <c r="R147" s="351"/>
    </row>
    <row r="148" spans="1:18" s="244" customFormat="1" ht="15">
      <c r="A148" s="335"/>
      <c r="B148" s="336">
        <v>37</v>
      </c>
      <c r="C148" s="337"/>
      <c r="D148" s="293" t="s">
        <v>197</v>
      </c>
      <c r="E148" s="338">
        <f aca="true" t="shared" si="9" ref="E148:H149">SUM(E149)</f>
        <v>4645.3</v>
      </c>
      <c r="F148" s="338">
        <f t="shared" si="9"/>
        <v>5308.91</v>
      </c>
      <c r="G148" s="338">
        <f t="shared" si="9"/>
        <v>5700</v>
      </c>
      <c r="H148" s="338">
        <f t="shared" si="9"/>
        <v>4645.2</v>
      </c>
      <c r="I148" s="355">
        <f>SUM(H148/E148*100)</f>
        <v>99.99784728650462</v>
      </c>
      <c r="J148" s="300">
        <f t="shared" si="7"/>
        <v>81.49473684210527</v>
      </c>
      <c r="K148" s="300">
        <f t="shared" si="8"/>
        <v>99.99784728650462</v>
      </c>
      <c r="L148" s="356"/>
      <c r="M148" s="356"/>
      <c r="N148" s="356"/>
      <c r="O148" s="356"/>
      <c r="P148" s="356"/>
      <c r="Q148" s="356"/>
      <c r="R148" s="356"/>
    </row>
    <row r="149" spans="1:18" s="244" customFormat="1" ht="15">
      <c r="A149" s="335"/>
      <c r="B149" s="339">
        <v>372</v>
      </c>
      <c r="C149" s="340"/>
      <c r="D149" s="308" t="s">
        <v>198</v>
      </c>
      <c r="E149" s="341">
        <f t="shared" si="9"/>
        <v>4645.3</v>
      </c>
      <c r="F149" s="341">
        <f t="shared" si="9"/>
        <v>5308.91</v>
      </c>
      <c r="G149" s="341">
        <f t="shared" si="9"/>
        <v>5700</v>
      </c>
      <c r="H149" s="341">
        <f t="shared" si="9"/>
        <v>4645.2</v>
      </c>
      <c r="I149" s="357"/>
      <c r="J149" s="300">
        <f t="shared" si="7"/>
        <v>81.49473684210527</v>
      </c>
      <c r="K149" s="300">
        <f t="shared" si="8"/>
        <v>99.99784728650462</v>
      </c>
      <c r="L149" s="356"/>
      <c r="M149" s="356"/>
      <c r="N149" s="356"/>
      <c r="O149" s="356"/>
      <c r="P149" s="356"/>
      <c r="Q149" s="356"/>
      <c r="R149" s="356"/>
    </row>
    <row r="150" spans="1:11" s="245" customFormat="1" ht="15.75">
      <c r="A150" s="335"/>
      <c r="B150" s="342">
        <v>3721</v>
      </c>
      <c r="C150" s="335"/>
      <c r="D150" s="309" t="s">
        <v>199</v>
      </c>
      <c r="E150" s="343">
        <v>4645.3</v>
      </c>
      <c r="F150" s="343">
        <v>5308.91</v>
      </c>
      <c r="G150" s="343">
        <v>5700</v>
      </c>
      <c r="H150" s="343">
        <v>4645.2</v>
      </c>
      <c r="I150" s="358"/>
      <c r="J150" s="300">
        <f t="shared" si="7"/>
        <v>81.49473684210527</v>
      </c>
      <c r="K150" s="300">
        <f t="shared" si="8"/>
        <v>99.99784728650462</v>
      </c>
    </row>
    <row r="151" spans="1:13" ht="15">
      <c r="A151" s="89"/>
      <c r="B151" s="265" t="s">
        <v>200</v>
      </c>
      <c r="C151" s="266"/>
      <c r="D151" s="267" t="s">
        <v>133</v>
      </c>
      <c r="E151" s="287">
        <f>E154+E152</f>
        <v>1327.23</v>
      </c>
      <c r="F151" s="287">
        <f>F154+F152</f>
        <v>1327.23</v>
      </c>
      <c r="G151" s="287">
        <f>G152+G154</f>
        <v>1200</v>
      </c>
      <c r="H151" s="287">
        <f>H152+H154</f>
        <v>1200</v>
      </c>
      <c r="I151" s="301">
        <f>SUM(H151/E151*100)</f>
        <v>90.41386948757939</v>
      </c>
      <c r="J151" s="300">
        <f t="shared" si="7"/>
        <v>100</v>
      </c>
      <c r="K151" s="300">
        <f t="shared" si="8"/>
        <v>90.41386948757939</v>
      </c>
      <c r="L151" s="246"/>
      <c r="M151" s="359"/>
    </row>
    <row r="152" spans="1:13" ht="15">
      <c r="A152" s="89"/>
      <c r="B152" s="310" t="s">
        <v>201</v>
      </c>
      <c r="C152" s="311"/>
      <c r="D152" s="312" t="s">
        <v>99</v>
      </c>
      <c r="E152" s="313">
        <f>SUM(E153)</f>
        <v>1327.23</v>
      </c>
      <c r="F152" s="313">
        <f>SUM(F153)</f>
        <v>1327.23</v>
      </c>
      <c r="G152" s="313">
        <f>SUM(G153)</f>
        <v>1200</v>
      </c>
      <c r="H152" s="313">
        <f>SUM(H153)</f>
        <v>1200</v>
      </c>
      <c r="I152" s="300"/>
      <c r="J152" s="300">
        <f t="shared" si="7"/>
        <v>100</v>
      </c>
      <c r="K152" s="300">
        <f t="shared" si="8"/>
        <v>90.41386948757939</v>
      </c>
      <c r="L152" s="246"/>
      <c r="M152" s="359"/>
    </row>
    <row r="153" spans="1:13" ht="15">
      <c r="A153" s="89"/>
      <c r="B153" s="314" t="s">
        <v>203</v>
      </c>
      <c r="C153" s="315"/>
      <c r="D153" s="316" t="s">
        <v>202</v>
      </c>
      <c r="E153" s="317">
        <v>1327.23</v>
      </c>
      <c r="F153" s="317">
        <v>1327.23</v>
      </c>
      <c r="G153" s="317">
        <v>1200</v>
      </c>
      <c r="H153" s="272">
        <v>1200</v>
      </c>
      <c r="I153" s="333"/>
      <c r="J153" s="300">
        <f t="shared" si="7"/>
        <v>100</v>
      </c>
      <c r="K153" s="300">
        <f t="shared" si="8"/>
        <v>90.41386948757939</v>
      </c>
      <c r="L153" s="246"/>
      <c r="M153" s="359"/>
    </row>
    <row r="154" spans="1:13" ht="15">
      <c r="A154" s="89"/>
      <c r="B154" s="291">
        <v>383</v>
      </c>
      <c r="C154" s="280"/>
      <c r="D154" s="292" t="s">
        <v>204</v>
      </c>
      <c r="E154" s="270">
        <f>SUM(E155:E156)</f>
        <v>0</v>
      </c>
      <c r="F154" s="270">
        <f>SUM(F155:F156)</f>
        <v>0</v>
      </c>
      <c r="G154" s="270">
        <f>SUM(G155:G156)</f>
        <v>0</v>
      </c>
      <c r="H154" s="270">
        <f>SUM(H155:H156)</f>
        <v>0</v>
      </c>
      <c r="I154" s="302"/>
      <c r="J154" s="300" t="e">
        <f t="shared" si="7"/>
        <v>#DIV/0!</v>
      </c>
      <c r="K154" s="300" t="e">
        <f t="shared" si="8"/>
        <v>#DIV/0!</v>
      </c>
      <c r="M154" s="246"/>
    </row>
    <row r="155" spans="1:11" ht="15">
      <c r="A155" s="89"/>
      <c r="B155" s="285">
        <v>3834</v>
      </c>
      <c r="C155" s="278"/>
      <c r="D155" s="286" t="s">
        <v>207</v>
      </c>
      <c r="E155" s="272"/>
      <c r="F155" s="272"/>
      <c r="G155" s="272"/>
      <c r="H155" s="272"/>
      <c r="I155" s="302"/>
      <c r="J155" s="300" t="e">
        <f t="shared" si="7"/>
        <v>#DIV/0!</v>
      </c>
      <c r="K155" s="300" t="e">
        <f t="shared" si="8"/>
        <v>#DIV/0!</v>
      </c>
    </row>
    <row r="156" spans="1:11" ht="15">
      <c r="A156" s="89"/>
      <c r="B156" s="285">
        <v>3835</v>
      </c>
      <c r="C156" s="278"/>
      <c r="D156" s="286" t="s">
        <v>208</v>
      </c>
      <c r="E156" s="272"/>
      <c r="F156" s="272"/>
      <c r="G156" s="272"/>
      <c r="H156" s="272"/>
      <c r="I156" s="302"/>
      <c r="J156" s="300" t="e">
        <f t="shared" si="7"/>
        <v>#DIV/0!</v>
      </c>
      <c r="K156" s="300" t="e">
        <f t="shared" si="8"/>
        <v>#DIV/0!</v>
      </c>
    </row>
    <row r="157" spans="1:11" ht="15">
      <c r="A157" s="318">
        <v>4</v>
      </c>
      <c r="B157" s="319"/>
      <c r="C157" s="320"/>
      <c r="D157" s="321" t="s">
        <v>209</v>
      </c>
      <c r="E157" s="322">
        <f>E158+E161</f>
        <v>0</v>
      </c>
      <c r="F157" s="322">
        <f>F158+F161</f>
        <v>0</v>
      </c>
      <c r="G157" s="322">
        <f>G158+G161</f>
        <v>0</v>
      </c>
      <c r="H157" s="322">
        <f>H158+H161</f>
        <v>0</v>
      </c>
      <c r="I157" s="299" t="e">
        <f>SUM(H157/E157*100)</f>
        <v>#DIV/0!</v>
      </c>
      <c r="J157" s="300" t="e">
        <f t="shared" si="7"/>
        <v>#DIV/0!</v>
      </c>
      <c r="K157" s="300" t="e">
        <f t="shared" si="8"/>
        <v>#DIV/0!</v>
      </c>
    </row>
    <row r="158" spans="1:11" ht="15">
      <c r="A158" s="323"/>
      <c r="B158" s="265" t="s">
        <v>210</v>
      </c>
      <c r="C158" s="266"/>
      <c r="D158" s="324" t="s">
        <v>211</v>
      </c>
      <c r="E158" s="287">
        <f aca="true" t="shared" si="10" ref="E158:H159">SUM(E159)</f>
        <v>0</v>
      </c>
      <c r="F158" s="287">
        <f t="shared" si="10"/>
        <v>0</v>
      </c>
      <c r="G158" s="287">
        <f t="shared" si="10"/>
        <v>0</v>
      </c>
      <c r="H158" s="287">
        <f t="shared" si="10"/>
        <v>0</v>
      </c>
      <c r="I158" s="301" t="e">
        <f>SUM(H158/E158*100)</f>
        <v>#DIV/0!</v>
      </c>
      <c r="J158" s="300" t="e">
        <f t="shared" si="7"/>
        <v>#DIV/0!</v>
      </c>
      <c r="K158" s="300" t="e">
        <f t="shared" si="8"/>
        <v>#DIV/0!</v>
      </c>
    </row>
    <row r="159" spans="1:11" ht="15">
      <c r="A159" s="323"/>
      <c r="B159" s="283">
        <v>412</v>
      </c>
      <c r="C159" s="273"/>
      <c r="D159" s="70" t="s">
        <v>216</v>
      </c>
      <c r="E159" s="270">
        <f t="shared" si="10"/>
        <v>0</v>
      </c>
      <c r="F159" s="270">
        <f t="shared" si="10"/>
        <v>0</v>
      </c>
      <c r="G159" s="270">
        <f t="shared" si="10"/>
        <v>0</v>
      </c>
      <c r="H159" s="270">
        <f t="shared" si="10"/>
        <v>0</v>
      </c>
      <c r="I159" s="302"/>
      <c r="J159" s="300" t="e">
        <f t="shared" si="7"/>
        <v>#DIV/0!</v>
      </c>
      <c r="K159" s="300" t="e">
        <f t="shared" si="8"/>
        <v>#DIV/0!</v>
      </c>
    </row>
    <row r="160" spans="1:11" ht="15">
      <c r="A160" s="327"/>
      <c r="B160" s="277">
        <v>4123</v>
      </c>
      <c r="C160" s="274"/>
      <c r="D160" s="71" t="s">
        <v>217</v>
      </c>
      <c r="E160" s="272"/>
      <c r="F160" s="272"/>
      <c r="G160" s="272"/>
      <c r="H160" s="272"/>
      <c r="I160" s="302"/>
      <c r="J160" s="300" t="e">
        <f t="shared" si="7"/>
        <v>#DIV/0!</v>
      </c>
      <c r="K160" s="300" t="e">
        <f t="shared" si="8"/>
        <v>#DIV/0!</v>
      </c>
    </row>
    <row r="161" spans="1:11" ht="15">
      <c r="A161" s="89"/>
      <c r="B161" s="265">
        <v>42</v>
      </c>
      <c r="C161" s="266"/>
      <c r="D161" s="267" t="s">
        <v>218</v>
      </c>
      <c r="E161" s="287">
        <f>SUM(E162,E164,E171,E173)</f>
        <v>0</v>
      </c>
      <c r="F161" s="287">
        <f>SUM(F162,F164,F171,F173)</f>
        <v>0</v>
      </c>
      <c r="G161" s="287">
        <f>SUM(G162,G164,G173)</f>
        <v>0</v>
      </c>
      <c r="H161" s="287">
        <f>SUM(H162,H164,H171,H173)</f>
        <v>0</v>
      </c>
      <c r="I161" s="301" t="e">
        <f>SUM(H161/E161*100)</f>
        <v>#DIV/0!</v>
      </c>
      <c r="J161" s="300" t="e">
        <f t="shared" si="7"/>
        <v>#DIV/0!</v>
      </c>
      <c r="K161" s="300" t="e">
        <f t="shared" si="8"/>
        <v>#DIV/0!</v>
      </c>
    </row>
    <row r="162" spans="1:11" ht="15">
      <c r="A162" s="89"/>
      <c r="B162" s="310" t="s">
        <v>241</v>
      </c>
      <c r="C162" s="311"/>
      <c r="D162" s="312" t="s">
        <v>242</v>
      </c>
      <c r="E162" s="313">
        <f>SUM(E163)</f>
        <v>0</v>
      </c>
      <c r="F162" s="313">
        <f>SUM(F163)</f>
        <v>0</v>
      </c>
      <c r="G162" s="313">
        <f>SUM(G163)</f>
        <v>0</v>
      </c>
      <c r="H162" s="313">
        <f>SUM(H163)</f>
        <v>0</v>
      </c>
      <c r="I162" s="300"/>
      <c r="J162" s="300" t="e">
        <f t="shared" si="7"/>
        <v>#DIV/0!</v>
      </c>
      <c r="K162" s="300" t="e">
        <f t="shared" si="8"/>
        <v>#DIV/0!</v>
      </c>
    </row>
    <row r="163" spans="1:11" ht="15">
      <c r="A163" s="89"/>
      <c r="B163" s="314" t="s">
        <v>243</v>
      </c>
      <c r="C163" s="315"/>
      <c r="D163" s="316" t="s">
        <v>244</v>
      </c>
      <c r="E163" s="317"/>
      <c r="F163" s="317"/>
      <c r="G163" s="317"/>
      <c r="H163" s="272"/>
      <c r="I163" s="333"/>
      <c r="J163" s="300" t="e">
        <f t="shared" si="7"/>
        <v>#DIV/0!</v>
      </c>
      <c r="K163" s="300" t="e">
        <f t="shared" si="8"/>
        <v>#DIV/0!</v>
      </c>
    </row>
    <row r="164" spans="1:11" ht="15">
      <c r="A164" s="89"/>
      <c r="B164" s="269">
        <v>422</v>
      </c>
      <c r="C164" s="89"/>
      <c r="D164" s="264" t="s">
        <v>219</v>
      </c>
      <c r="E164" s="270">
        <f>SUM(E165:E170)</f>
        <v>0</v>
      </c>
      <c r="F164" s="270">
        <f>SUM(F165:F170)</f>
        <v>0</v>
      </c>
      <c r="G164" s="270">
        <f>SUM(G165:G169)</f>
        <v>0</v>
      </c>
      <c r="H164" s="270">
        <f>SUM(H165:H169)</f>
        <v>0</v>
      </c>
      <c r="I164" s="302"/>
      <c r="J164" s="300" t="e">
        <f t="shared" si="7"/>
        <v>#DIV/0!</v>
      </c>
      <c r="K164" s="300" t="e">
        <f t="shared" si="8"/>
        <v>#DIV/0!</v>
      </c>
    </row>
    <row r="165" spans="1:11" ht="15">
      <c r="A165" s="89"/>
      <c r="B165" s="271" t="s">
        <v>220</v>
      </c>
      <c r="C165" s="89"/>
      <c r="D165" s="89" t="s">
        <v>221</v>
      </c>
      <c r="E165" s="272"/>
      <c r="F165" s="272"/>
      <c r="G165" s="272"/>
      <c r="H165" s="272"/>
      <c r="I165" s="302"/>
      <c r="J165" s="300" t="e">
        <f t="shared" si="7"/>
        <v>#DIV/0!</v>
      </c>
      <c r="K165" s="300" t="e">
        <f t="shared" si="8"/>
        <v>#DIV/0!</v>
      </c>
    </row>
    <row r="166" spans="1:11" ht="15">
      <c r="A166" s="89"/>
      <c r="B166" s="271" t="s">
        <v>222</v>
      </c>
      <c r="C166" s="89"/>
      <c r="D166" s="89" t="s">
        <v>223</v>
      </c>
      <c r="E166" s="272"/>
      <c r="F166" s="272"/>
      <c r="G166" s="272"/>
      <c r="H166" s="272"/>
      <c r="I166" s="302"/>
      <c r="J166" s="300" t="e">
        <f t="shared" si="7"/>
        <v>#DIV/0!</v>
      </c>
      <c r="K166" s="300" t="e">
        <f t="shared" si="8"/>
        <v>#DIV/0!</v>
      </c>
    </row>
    <row r="167" spans="1:11" ht="15">
      <c r="A167" s="327"/>
      <c r="B167" s="277">
        <v>4223</v>
      </c>
      <c r="C167" s="274"/>
      <c r="D167" s="71" t="s">
        <v>224</v>
      </c>
      <c r="E167" s="272"/>
      <c r="F167" s="272"/>
      <c r="G167" s="272"/>
      <c r="H167" s="272"/>
      <c r="I167" s="302"/>
      <c r="J167" s="300" t="e">
        <f t="shared" si="7"/>
        <v>#DIV/0!</v>
      </c>
      <c r="K167" s="300" t="e">
        <f t="shared" si="8"/>
        <v>#DIV/0!</v>
      </c>
    </row>
    <row r="168" spans="1:11" ht="15">
      <c r="A168" s="327"/>
      <c r="B168" s="277">
        <v>4224</v>
      </c>
      <c r="C168" s="274"/>
      <c r="D168" s="71" t="s">
        <v>225</v>
      </c>
      <c r="E168" s="272"/>
      <c r="F168" s="272"/>
      <c r="G168" s="272"/>
      <c r="H168" s="272"/>
      <c r="I168" s="302"/>
      <c r="J168" s="300" t="e">
        <f t="shared" si="7"/>
        <v>#DIV/0!</v>
      </c>
      <c r="K168" s="300" t="e">
        <f t="shared" si="8"/>
        <v>#DIV/0!</v>
      </c>
    </row>
    <row r="169" spans="1:11" ht="15">
      <c r="A169" s="327"/>
      <c r="B169" s="277">
        <v>4225</v>
      </c>
      <c r="C169" s="274"/>
      <c r="D169" s="71" t="s">
        <v>226</v>
      </c>
      <c r="E169" s="272"/>
      <c r="F169" s="272"/>
      <c r="G169" s="272"/>
      <c r="H169" s="272"/>
      <c r="I169" s="302"/>
      <c r="J169" s="300" t="e">
        <f t="shared" si="7"/>
        <v>#DIV/0!</v>
      </c>
      <c r="K169" s="300" t="e">
        <f t="shared" si="8"/>
        <v>#DIV/0!</v>
      </c>
    </row>
    <row r="170" spans="1:11" ht="15">
      <c r="A170" s="327"/>
      <c r="B170" s="277">
        <v>4227</v>
      </c>
      <c r="C170" s="274"/>
      <c r="D170" s="71" t="s">
        <v>227</v>
      </c>
      <c r="E170" s="272"/>
      <c r="F170" s="272"/>
      <c r="G170" s="272"/>
      <c r="H170" s="272"/>
      <c r="I170" s="302"/>
      <c r="J170" s="300" t="e">
        <f t="shared" si="7"/>
        <v>#DIV/0!</v>
      </c>
      <c r="K170" s="300" t="e">
        <f t="shared" si="8"/>
        <v>#DIV/0!</v>
      </c>
    </row>
    <row r="171" spans="1:11" s="246" customFormat="1" ht="15">
      <c r="A171" s="323"/>
      <c r="B171" s="283">
        <v>423</v>
      </c>
      <c r="C171" s="273"/>
      <c r="D171" s="70" t="s">
        <v>228</v>
      </c>
      <c r="E171" s="270">
        <f>E172</f>
        <v>0</v>
      </c>
      <c r="F171" s="270">
        <f>F172</f>
        <v>0</v>
      </c>
      <c r="G171" s="270">
        <f>G172</f>
        <v>0</v>
      </c>
      <c r="H171" s="270">
        <f>H172</f>
        <v>0</v>
      </c>
      <c r="I171" s="304"/>
      <c r="J171" s="300" t="e">
        <f t="shared" si="7"/>
        <v>#DIV/0!</v>
      </c>
      <c r="K171" s="300" t="e">
        <f t="shared" si="8"/>
        <v>#DIV/0!</v>
      </c>
    </row>
    <row r="172" spans="1:11" ht="15">
      <c r="A172" s="327"/>
      <c r="B172" s="277">
        <v>4231</v>
      </c>
      <c r="C172" s="274"/>
      <c r="D172" s="71" t="s">
        <v>228</v>
      </c>
      <c r="E172" s="272"/>
      <c r="F172" s="272"/>
      <c r="G172" s="272"/>
      <c r="H172" s="272"/>
      <c r="I172" s="302"/>
      <c r="J172" s="300" t="e">
        <f t="shared" si="7"/>
        <v>#DIV/0!</v>
      </c>
      <c r="K172" s="300" t="e">
        <f t="shared" si="8"/>
        <v>#DIV/0!</v>
      </c>
    </row>
    <row r="173" spans="1:11" ht="15">
      <c r="A173" s="327"/>
      <c r="B173" s="283">
        <v>426</v>
      </c>
      <c r="C173" s="273"/>
      <c r="D173" s="70" t="s">
        <v>229</v>
      </c>
      <c r="E173" s="270">
        <f>E174</f>
        <v>0</v>
      </c>
      <c r="F173" s="270">
        <f>F174</f>
        <v>0</v>
      </c>
      <c r="G173" s="270">
        <f>G174</f>
        <v>0</v>
      </c>
      <c r="H173" s="270">
        <f>H174</f>
        <v>0</v>
      </c>
      <c r="I173" s="304"/>
      <c r="J173" s="300" t="e">
        <f t="shared" si="7"/>
        <v>#DIV/0!</v>
      </c>
      <c r="K173" s="300" t="e">
        <f t="shared" si="8"/>
        <v>#DIV/0!</v>
      </c>
    </row>
    <row r="174" spans="1:11" ht="15">
      <c r="A174" s="327"/>
      <c r="B174" s="277">
        <v>4262</v>
      </c>
      <c r="C174" s="274"/>
      <c r="D174" s="71" t="s">
        <v>230</v>
      </c>
      <c r="E174" s="272"/>
      <c r="F174" s="272"/>
      <c r="G174" s="272"/>
      <c r="H174" s="272"/>
      <c r="I174" s="302"/>
      <c r="J174" s="300" t="e">
        <f aca="true" t="shared" si="11" ref="J174:J180">SUM(H174/G174*100)</f>
        <v>#DIV/0!</v>
      </c>
      <c r="K174" s="300" t="e">
        <f aca="true" t="shared" si="12" ref="K174:K180">SUM(H174/E174*100)</f>
        <v>#DIV/0!</v>
      </c>
    </row>
    <row r="175" spans="1:11" ht="15">
      <c r="A175" s="328"/>
      <c r="B175" s="329"/>
      <c r="C175" s="344" t="s">
        <v>96</v>
      </c>
      <c r="D175" s="345" t="s">
        <v>245</v>
      </c>
      <c r="E175" s="346">
        <f>E99</f>
        <v>1577763.3800000001</v>
      </c>
      <c r="F175" s="346">
        <f>F99+F157</f>
        <v>1173933.2399999998</v>
      </c>
      <c r="G175" s="346">
        <f>G99+G157</f>
        <v>1680700</v>
      </c>
      <c r="H175" s="346">
        <f>H99+H157</f>
        <v>1698348.0499999998</v>
      </c>
      <c r="I175" s="360">
        <f>SUM(H175/E175*100)</f>
        <v>107.64276009498963</v>
      </c>
      <c r="J175" s="300">
        <f t="shared" si="11"/>
        <v>101.05004164931277</v>
      </c>
      <c r="K175" s="300">
        <f t="shared" si="12"/>
        <v>107.64276009498963</v>
      </c>
    </row>
    <row r="176" spans="1:11" ht="15">
      <c r="A176" s="260" t="s">
        <v>121</v>
      </c>
      <c r="B176" s="260"/>
      <c r="C176" s="261"/>
      <c r="D176" s="262" t="s">
        <v>122</v>
      </c>
      <c r="E176" s="347">
        <f>E177+E187</f>
        <v>220568.79</v>
      </c>
      <c r="F176" s="347">
        <f>F177+F187</f>
        <v>20704.760000000002</v>
      </c>
      <c r="G176" s="348">
        <f>G177+G187</f>
        <v>200000</v>
      </c>
      <c r="H176" s="348">
        <f>H177+H187</f>
        <v>211897.13999999998</v>
      </c>
      <c r="I176" s="299">
        <f>SUM(H176/E176*100)</f>
        <v>96.06850543089074</v>
      </c>
      <c r="J176" s="300">
        <f t="shared" si="11"/>
        <v>105.94857</v>
      </c>
      <c r="K176" s="300">
        <f t="shared" si="12"/>
        <v>96.06850543089074</v>
      </c>
    </row>
    <row r="177" spans="1:11" ht="15">
      <c r="A177" s="264"/>
      <c r="B177" s="265">
        <v>31</v>
      </c>
      <c r="C177" s="266"/>
      <c r="D177" s="267" t="s">
        <v>123</v>
      </c>
      <c r="E177" s="268">
        <f>E178+E184</f>
        <v>218940.01</v>
      </c>
      <c r="F177" s="268">
        <f>F178+F184</f>
        <v>20704.760000000002</v>
      </c>
      <c r="G177" s="268">
        <f>G178+G182+G184</f>
        <v>183825</v>
      </c>
      <c r="H177" s="268">
        <f>H178+H184</f>
        <v>199690.53</v>
      </c>
      <c r="I177" s="301">
        <f>SUM(H177/E177*100)</f>
        <v>91.20787470503906</v>
      </c>
      <c r="J177" s="300">
        <f t="shared" si="11"/>
        <v>108.63077927376581</v>
      </c>
      <c r="K177" s="300">
        <f t="shared" si="12"/>
        <v>91.20787470503906</v>
      </c>
    </row>
    <row r="178" spans="1:11" ht="15">
      <c r="A178" s="264"/>
      <c r="B178" s="269">
        <v>311</v>
      </c>
      <c r="C178" s="89"/>
      <c r="D178" s="264" t="s">
        <v>124</v>
      </c>
      <c r="E178" s="35">
        <f>E179+E181</f>
        <v>203647.58000000002</v>
      </c>
      <c r="F178" s="35">
        <f>SUM(F179:F183)</f>
        <v>14068.62</v>
      </c>
      <c r="G178" s="35">
        <f>G179+G180+G181</f>
        <v>170825</v>
      </c>
      <c r="H178" s="35">
        <f>SUM(H179,H183)</f>
        <v>191125.82</v>
      </c>
      <c r="I178" s="304"/>
      <c r="J178" s="300">
        <f t="shared" si="11"/>
        <v>111.88398653592859</v>
      </c>
      <c r="K178" s="300">
        <f t="shared" si="12"/>
        <v>93.85126010336091</v>
      </c>
    </row>
    <row r="179" spans="1:11" ht="15">
      <c r="A179" s="264"/>
      <c r="B179" s="271">
        <v>3111</v>
      </c>
      <c r="C179" s="89"/>
      <c r="D179" s="89" t="s">
        <v>125</v>
      </c>
      <c r="E179" s="37">
        <v>168723.53</v>
      </c>
      <c r="F179" s="37">
        <v>14068.62</v>
      </c>
      <c r="G179" s="29">
        <v>170825</v>
      </c>
      <c r="H179" s="37">
        <v>189325.82</v>
      </c>
      <c r="I179" s="304"/>
      <c r="J179" s="300">
        <f t="shared" si="11"/>
        <v>110.83027659885849</v>
      </c>
      <c r="K179" s="300">
        <f t="shared" si="12"/>
        <v>112.21067980263335</v>
      </c>
    </row>
    <row r="180" spans="1:11" ht="15">
      <c r="A180" s="264"/>
      <c r="B180" s="271" t="s">
        <v>128</v>
      </c>
      <c r="C180" s="89"/>
      <c r="D180" s="89" t="s">
        <v>129</v>
      </c>
      <c r="E180" s="37"/>
      <c r="F180" s="37"/>
      <c r="G180" s="29"/>
      <c r="H180" s="37"/>
      <c r="I180" s="304"/>
      <c r="J180" s="300" t="e">
        <f t="shared" si="11"/>
        <v>#DIV/0!</v>
      </c>
      <c r="K180" s="300" t="e">
        <f t="shared" si="12"/>
        <v>#DIV/0!</v>
      </c>
    </row>
    <row r="181" spans="1:11" ht="15">
      <c r="A181" s="264"/>
      <c r="B181" s="271" t="s">
        <v>130</v>
      </c>
      <c r="C181" s="89"/>
      <c r="D181" s="89" t="s">
        <v>246</v>
      </c>
      <c r="E181" s="37">
        <v>34924.05</v>
      </c>
      <c r="F181" s="37"/>
      <c r="G181" s="29"/>
      <c r="H181" s="37"/>
      <c r="I181" s="304"/>
      <c r="J181" s="300"/>
      <c r="K181" s="300"/>
    </row>
    <row r="182" spans="1:11" ht="15">
      <c r="A182" s="264"/>
      <c r="B182" s="269" t="s">
        <v>132</v>
      </c>
      <c r="C182" s="264"/>
      <c r="D182" s="264" t="s">
        <v>133</v>
      </c>
      <c r="E182" s="35">
        <f>E183</f>
        <v>0</v>
      </c>
      <c r="F182" s="35">
        <f>F183</f>
        <v>0</v>
      </c>
      <c r="G182" s="65">
        <f>G183</f>
        <v>2000</v>
      </c>
      <c r="H182" s="35">
        <f>H183</f>
        <v>1800</v>
      </c>
      <c r="I182" s="304"/>
      <c r="J182" s="300"/>
      <c r="K182" s="300"/>
    </row>
    <row r="183" spans="1:11" ht="15">
      <c r="A183" s="264"/>
      <c r="B183" s="271" t="s">
        <v>134</v>
      </c>
      <c r="C183" s="89"/>
      <c r="D183" s="89" t="s">
        <v>133</v>
      </c>
      <c r="E183" s="37"/>
      <c r="F183" s="37"/>
      <c r="G183" s="29">
        <v>2000</v>
      </c>
      <c r="H183" s="37">
        <v>1800</v>
      </c>
      <c r="I183" s="304"/>
      <c r="J183" s="300">
        <f aca="true" t="shared" si="13" ref="J183:J188">SUM(H183/G183*100)</f>
        <v>90</v>
      </c>
      <c r="K183" s="300" t="e">
        <f aca="true" t="shared" si="14" ref="K183:K188">SUM(H183/E183*100)</f>
        <v>#DIV/0!</v>
      </c>
    </row>
    <row r="184" spans="1:11" ht="15">
      <c r="A184" s="264"/>
      <c r="B184" s="310" t="s">
        <v>247</v>
      </c>
      <c r="C184" s="311"/>
      <c r="D184" s="311" t="s">
        <v>135</v>
      </c>
      <c r="E184" s="349">
        <f>E185+E186</f>
        <v>15292.43</v>
      </c>
      <c r="F184" s="349">
        <f>F185+F186</f>
        <v>6636.139999999999</v>
      </c>
      <c r="G184" s="349">
        <f>G185+G186</f>
        <v>11000</v>
      </c>
      <c r="H184" s="349">
        <f>SUM(H186)</f>
        <v>8564.71</v>
      </c>
      <c r="I184" s="300"/>
      <c r="J184" s="300">
        <f t="shared" si="13"/>
        <v>77.86099999999999</v>
      </c>
      <c r="K184" s="300">
        <f t="shared" si="14"/>
        <v>56.00620699261006</v>
      </c>
    </row>
    <row r="185" spans="1:11" ht="15">
      <c r="A185" s="264"/>
      <c r="B185" s="314" t="s">
        <v>260</v>
      </c>
      <c r="C185" s="315"/>
      <c r="D185" s="315" t="s">
        <v>261</v>
      </c>
      <c r="E185" s="58">
        <v>8283.14</v>
      </c>
      <c r="F185" s="58">
        <v>3981.68</v>
      </c>
      <c r="G185" s="58"/>
      <c r="H185" s="58"/>
      <c r="I185" s="300"/>
      <c r="J185" s="300"/>
      <c r="K185" s="300"/>
    </row>
    <row r="186" spans="1:11" ht="15">
      <c r="A186" s="264"/>
      <c r="B186" s="271" t="s">
        <v>248</v>
      </c>
      <c r="C186" s="89"/>
      <c r="D186" s="89" t="s">
        <v>340</v>
      </c>
      <c r="E186" s="37">
        <v>7009.29</v>
      </c>
      <c r="F186" s="37">
        <v>2654.46</v>
      </c>
      <c r="G186" s="29">
        <v>11000</v>
      </c>
      <c r="H186" s="37">
        <v>8564.71</v>
      </c>
      <c r="I186" s="304"/>
      <c r="J186" s="300">
        <f t="shared" si="13"/>
        <v>77.86099999999999</v>
      </c>
      <c r="K186" s="300">
        <f t="shared" si="14"/>
        <v>122.19083530571568</v>
      </c>
    </row>
    <row r="187" spans="1:11" ht="15">
      <c r="A187" s="264"/>
      <c r="B187" s="265">
        <v>32</v>
      </c>
      <c r="C187" s="266"/>
      <c r="D187" s="267" t="s">
        <v>137</v>
      </c>
      <c r="E187" s="350">
        <f>E188+E192+E197+E204</f>
        <v>1628.78</v>
      </c>
      <c r="F187" s="350">
        <f>SUM(F192+F188+F197+F204)</f>
        <v>0</v>
      </c>
      <c r="G187" s="350">
        <f>G188+G192+G197+G204</f>
        <v>16175</v>
      </c>
      <c r="H187" s="350">
        <f>H188+H192+H197+H204</f>
        <v>12206.609999999999</v>
      </c>
      <c r="I187" s="301">
        <f>SUM(H187/E187*100)</f>
        <v>749.4327042326158</v>
      </c>
      <c r="J187" s="300">
        <f t="shared" si="13"/>
        <v>75.46590417310664</v>
      </c>
      <c r="K187" s="300">
        <f t="shared" si="14"/>
        <v>749.4327042326158</v>
      </c>
    </row>
    <row r="188" spans="1:11" ht="15">
      <c r="A188" s="264"/>
      <c r="B188" s="310" t="s">
        <v>250</v>
      </c>
      <c r="C188" s="311"/>
      <c r="D188" s="312" t="s">
        <v>138</v>
      </c>
      <c r="E188" s="349">
        <f>E189+E190+E191</f>
        <v>857.8199999999999</v>
      </c>
      <c r="F188" s="349">
        <f>F190</f>
        <v>0</v>
      </c>
      <c r="G188" s="349">
        <f>G189+G190+G191</f>
        <v>16100</v>
      </c>
      <c r="H188" s="349">
        <f>H189+H190+H191</f>
        <v>11534.71</v>
      </c>
      <c r="I188" s="300"/>
      <c r="J188" s="300">
        <f t="shared" si="13"/>
        <v>71.64416149068322</v>
      </c>
      <c r="K188" s="300">
        <f t="shared" si="14"/>
        <v>1344.653890093493</v>
      </c>
    </row>
    <row r="189" spans="1:11" ht="15">
      <c r="A189" s="264"/>
      <c r="B189" s="314" t="s">
        <v>139</v>
      </c>
      <c r="C189" s="315"/>
      <c r="D189" s="316" t="s">
        <v>140</v>
      </c>
      <c r="E189" s="58"/>
      <c r="F189" s="58"/>
      <c r="G189" s="58">
        <v>200</v>
      </c>
      <c r="H189" s="58"/>
      <c r="I189" s="300"/>
      <c r="J189" s="300"/>
      <c r="K189" s="300"/>
    </row>
    <row r="190" spans="1:11" ht="15">
      <c r="A190" s="89"/>
      <c r="B190" s="314" t="s">
        <v>141</v>
      </c>
      <c r="C190" s="315"/>
      <c r="D190" s="316" t="s">
        <v>142</v>
      </c>
      <c r="E190" s="58">
        <v>326.93</v>
      </c>
      <c r="F190" s="58"/>
      <c r="G190" s="58">
        <v>11000</v>
      </c>
      <c r="H190" s="58">
        <v>6756.7</v>
      </c>
      <c r="I190" s="333"/>
      <c r="J190" s="300">
        <f aca="true" t="shared" si="15" ref="J190:J197">SUM(H190/G190*100)</f>
        <v>61.42454545454545</v>
      </c>
      <c r="K190" s="300">
        <f aca="true" t="shared" si="16" ref="K190:K197">SUM(H190/E190*100)</f>
        <v>2066.7115284617503</v>
      </c>
    </row>
    <row r="191" spans="1:11" ht="15">
      <c r="A191" s="89"/>
      <c r="B191" s="314" t="s">
        <v>143</v>
      </c>
      <c r="C191" s="315"/>
      <c r="D191" s="316" t="s">
        <v>341</v>
      </c>
      <c r="E191" s="58">
        <v>530.89</v>
      </c>
      <c r="F191" s="58"/>
      <c r="G191" s="58">
        <v>4900</v>
      </c>
      <c r="H191" s="58">
        <v>4778.01</v>
      </c>
      <c r="I191" s="333"/>
      <c r="J191" s="300"/>
      <c r="K191" s="300"/>
    </row>
    <row r="192" spans="1:11" ht="15">
      <c r="A192" s="264"/>
      <c r="B192" s="269" t="s">
        <v>147</v>
      </c>
      <c r="C192" s="264"/>
      <c r="D192" s="264" t="s">
        <v>148</v>
      </c>
      <c r="E192" s="35">
        <f>SUM(E193:E196)</f>
        <v>467.96</v>
      </c>
      <c r="F192" s="35">
        <f>SUM(F193:F196)</f>
        <v>0</v>
      </c>
      <c r="G192" s="35">
        <f>SUM(G194,G193)</f>
        <v>75</v>
      </c>
      <c r="H192" s="35">
        <f>SUM(H193:H196)</f>
        <v>74.66</v>
      </c>
      <c r="I192" s="304"/>
      <c r="J192" s="300">
        <f t="shared" si="15"/>
        <v>99.54666666666667</v>
      </c>
      <c r="K192" s="300">
        <f t="shared" si="16"/>
        <v>15.954355073083171</v>
      </c>
    </row>
    <row r="193" spans="1:11" ht="15">
      <c r="A193" s="89"/>
      <c r="B193" s="271" t="s">
        <v>149</v>
      </c>
      <c r="C193" s="89"/>
      <c r="D193" s="89" t="s">
        <v>150</v>
      </c>
      <c r="E193" s="37"/>
      <c r="F193" s="37"/>
      <c r="G193" s="37">
        <v>75</v>
      </c>
      <c r="H193" s="37">
        <v>74.66</v>
      </c>
      <c r="I193" s="302"/>
      <c r="J193" s="300">
        <f t="shared" si="15"/>
        <v>99.54666666666667</v>
      </c>
      <c r="K193" s="300" t="e">
        <f t="shared" si="16"/>
        <v>#DIV/0!</v>
      </c>
    </row>
    <row r="194" spans="1:11" ht="15">
      <c r="A194" s="264"/>
      <c r="B194" s="271" t="s">
        <v>151</v>
      </c>
      <c r="C194" s="89"/>
      <c r="D194" s="89" t="s">
        <v>152</v>
      </c>
      <c r="E194" s="37"/>
      <c r="F194" s="37"/>
      <c r="G194" s="29"/>
      <c r="H194" s="37"/>
      <c r="I194" s="304"/>
      <c r="J194" s="300" t="e">
        <f t="shared" si="15"/>
        <v>#DIV/0!</v>
      </c>
      <c r="K194" s="300" t="e">
        <f t="shared" si="16"/>
        <v>#DIV/0!</v>
      </c>
    </row>
    <row r="195" spans="1:11" ht="15">
      <c r="A195" s="264"/>
      <c r="B195" s="271" t="s">
        <v>153</v>
      </c>
      <c r="C195" s="89"/>
      <c r="D195" s="89" t="s">
        <v>154</v>
      </c>
      <c r="E195" s="37">
        <v>467.96</v>
      </c>
      <c r="F195" s="37"/>
      <c r="G195" s="29"/>
      <c r="H195" s="37"/>
      <c r="I195" s="304"/>
      <c r="J195" s="300" t="e">
        <f t="shared" si="15"/>
        <v>#DIV/0!</v>
      </c>
      <c r="K195" s="300">
        <f t="shared" si="16"/>
        <v>0</v>
      </c>
    </row>
    <row r="196" spans="1:11" ht="15">
      <c r="A196" s="264"/>
      <c r="B196" s="271" t="s">
        <v>155</v>
      </c>
      <c r="C196" s="89"/>
      <c r="D196" s="89" t="s">
        <v>156</v>
      </c>
      <c r="E196" s="37"/>
      <c r="F196" s="37"/>
      <c r="G196" s="29"/>
      <c r="H196" s="37"/>
      <c r="I196" s="304"/>
      <c r="J196" s="300" t="e">
        <f t="shared" si="15"/>
        <v>#DIV/0!</v>
      </c>
      <c r="K196" s="300" t="e">
        <f t="shared" si="16"/>
        <v>#DIV/0!</v>
      </c>
    </row>
    <row r="197" spans="1:11" ht="15">
      <c r="A197" s="264"/>
      <c r="B197" s="269" t="s">
        <v>161</v>
      </c>
      <c r="C197" s="264"/>
      <c r="D197" s="264" t="s">
        <v>162</v>
      </c>
      <c r="E197" s="35">
        <f>E198+E199</f>
        <v>303</v>
      </c>
      <c r="F197" s="35">
        <f>SUM(F199:F203)</f>
        <v>0</v>
      </c>
      <c r="G197" s="35">
        <f>SUM(G199:G203)</f>
        <v>0</v>
      </c>
      <c r="H197" s="35">
        <f>SUM(H199:H203)</f>
        <v>597.24</v>
      </c>
      <c r="I197" s="304"/>
      <c r="J197" s="300" t="e">
        <f t="shared" si="15"/>
        <v>#DIV/0!</v>
      </c>
      <c r="K197" s="300">
        <f t="shared" si="16"/>
        <v>197.1089108910891</v>
      </c>
    </row>
    <row r="198" spans="1:11" ht="15">
      <c r="A198" s="264"/>
      <c r="B198" s="271" t="s">
        <v>163</v>
      </c>
      <c r="C198" s="89"/>
      <c r="D198" s="89" t="s">
        <v>164</v>
      </c>
      <c r="E198" s="37">
        <v>54.14</v>
      </c>
      <c r="F198" s="37"/>
      <c r="G198" s="37"/>
      <c r="H198" s="37"/>
      <c r="I198" s="304"/>
      <c r="J198" s="300"/>
      <c r="K198" s="300"/>
    </row>
    <row r="199" spans="1:11" ht="15">
      <c r="A199" s="264"/>
      <c r="B199" s="271" t="s">
        <v>167</v>
      </c>
      <c r="C199" s="89"/>
      <c r="D199" s="89" t="s">
        <v>168</v>
      </c>
      <c r="E199" s="37">
        <v>248.86</v>
      </c>
      <c r="F199" s="37"/>
      <c r="G199" s="29"/>
      <c r="H199" s="37"/>
      <c r="I199" s="304"/>
      <c r="J199" s="300" t="e">
        <f aca="true" t="shared" si="17" ref="J199:J210">SUM(H199/G199*100)</f>
        <v>#DIV/0!</v>
      </c>
      <c r="K199" s="300">
        <f aca="true" t="shared" si="18" ref="K199:K210">SUM(H199/E199*100)</f>
        <v>0</v>
      </c>
    </row>
    <row r="200" spans="1:11" ht="15">
      <c r="A200" s="264"/>
      <c r="B200" s="271" t="s">
        <v>169</v>
      </c>
      <c r="C200" s="89"/>
      <c r="D200" s="89" t="s">
        <v>170</v>
      </c>
      <c r="E200" s="37"/>
      <c r="F200" s="37"/>
      <c r="G200" s="29"/>
      <c r="H200" s="37"/>
      <c r="I200" s="304"/>
      <c r="J200" s="300" t="e">
        <f t="shared" si="17"/>
        <v>#DIV/0!</v>
      </c>
      <c r="K200" s="300" t="e">
        <f t="shared" si="18"/>
        <v>#DIV/0!</v>
      </c>
    </row>
    <row r="201" spans="1:11" ht="15">
      <c r="A201" s="264"/>
      <c r="B201" s="271" t="s">
        <v>251</v>
      </c>
      <c r="C201" s="89"/>
      <c r="D201" s="89" t="s">
        <v>171</v>
      </c>
      <c r="E201" s="37"/>
      <c r="F201" s="37"/>
      <c r="G201" s="29"/>
      <c r="H201" s="37"/>
      <c r="I201" s="304"/>
      <c r="J201" s="300" t="e">
        <f t="shared" si="17"/>
        <v>#DIV/0!</v>
      </c>
      <c r="K201" s="300" t="e">
        <f t="shared" si="18"/>
        <v>#DIV/0!</v>
      </c>
    </row>
    <row r="202" spans="1:11" ht="15">
      <c r="A202" s="264"/>
      <c r="B202" s="271" t="s">
        <v>252</v>
      </c>
      <c r="C202" s="89"/>
      <c r="D202" s="89" t="s">
        <v>172</v>
      </c>
      <c r="E202" s="37"/>
      <c r="F202" s="37"/>
      <c r="G202" s="29"/>
      <c r="H202" s="37"/>
      <c r="I202" s="304"/>
      <c r="J202" s="300" t="e">
        <f t="shared" si="17"/>
        <v>#DIV/0!</v>
      </c>
      <c r="K202" s="300" t="e">
        <f t="shared" si="18"/>
        <v>#DIV/0!</v>
      </c>
    </row>
    <row r="203" spans="1:11" ht="15">
      <c r="A203" s="264"/>
      <c r="B203" s="271" t="s">
        <v>253</v>
      </c>
      <c r="C203" s="89"/>
      <c r="D203" s="89" t="s">
        <v>173</v>
      </c>
      <c r="E203" s="37"/>
      <c r="F203" s="37"/>
      <c r="G203" s="29"/>
      <c r="H203" s="37">
        <v>597.24</v>
      </c>
      <c r="I203" s="304"/>
      <c r="J203" s="300" t="e">
        <f t="shared" si="17"/>
        <v>#DIV/0!</v>
      </c>
      <c r="K203" s="300" t="e">
        <f t="shared" si="18"/>
        <v>#DIV/0!</v>
      </c>
    </row>
    <row r="204" spans="1:11" ht="15">
      <c r="A204" s="264"/>
      <c r="B204" s="269" t="s">
        <v>254</v>
      </c>
      <c r="C204" s="264"/>
      <c r="D204" s="264" t="s">
        <v>255</v>
      </c>
      <c r="E204" s="35">
        <f>SUM(E205:E206)</f>
        <v>0</v>
      </c>
      <c r="F204" s="35">
        <f>SUM(F205:F206)</f>
        <v>0</v>
      </c>
      <c r="G204" s="35">
        <f>SUM(G205:G206)</f>
        <v>0</v>
      </c>
      <c r="H204" s="35">
        <f>SUM(H205:I206)</f>
        <v>0</v>
      </c>
      <c r="I204" s="304"/>
      <c r="J204" s="300" t="e">
        <f t="shared" si="17"/>
        <v>#DIV/0!</v>
      </c>
      <c r="K204" s="300" t="e">
        <f t="shared" si="18"/>
        <v>#DIV/0!</v>
      </c>
    </row>
    <row r="205" spans="1:11" ht="15">
      <c r="A205" s="264"/>
      <c r="B205" s="271" t="s">
        <v>256</v>
      </c>
      <c r="C205" s="89"/>
      <c r="D205" s="89" t="s">
        <v>183</v>
      </c>
      <c r="E205" s="37"/>
      <c r="F205" s="37"/>
      <c r="G205" s="29"/>
      <c r="H205" s="37"/>
      <c r="I205" s="304"/>
      <c r="J205" s="300" t="e">
        <f t="shared" si="17"/>
        <v>#DIV/0!</v>
      </c>
      <c r="K205" s="300" t="e">
        <f t="shared" si="18"/>
        <v>#DIV/0!</v>
      </c>
    </row>
    <row r="206" spans="1:11" ht="15">
      <c r="A206" s="264"/>
      <c r="B206" s="271" t="s">
        <v>257</v>
      </c>
      <c r="C206" s="89"/>
      <c r="D206" s="89" t="s">
        <v>185</v>
      </c>
      <c r="E206" s="37"/>
      <c r="F206" s="37"/>
      <c r="G206" s="29"/>
      <c r="H206" s="37"/>
      <c r="I206" s="304"/>
      <c r="J206" s="300" t="e">
        <f t="shared" si="17"/>
        <v>#DIV/0!</v>
      </c>
      <c r="K206" s="300" t="e">
        <f t="shared" si="18"/>
        <v>#DIV/0!</v>
      </c>
    </row>
    <row r="207" spans="1:11" ht="15">
      <c r="A207" s="318">
        <v>4</v>
      </c>
      <c r="B207" s="319"/>
      <c r="C207" s="320"/>
      <c r="D207" s="321" t="s">
        <v>209</v>
      </c>
      <c r="E207" s="361">
        <f aca="true" t="shared" si="19" ref="E207:H208">E208</f>
        <v>2226.8</v>
      </c>
      <c r="F207" s="361">
        <f t="shared" si="19"/>
        <v>0</v>
      </c>
      <c r="G207" s="361">
        <f t="shared" si="19"/>
        <v>0</v>
      </c>
      <c r="H207" s="361">
        <f t="shared" si="19"/>
        <v>0</v>
      </c>
      <c r="I207" s="299"/>
      <c r="J207" s="300" t="e">
        <f t="shared" si="17"/>
        <v>#DIV/0!</v>
      </c>
      <c r="K207" s="300">
        <f t="shared" si="18"/>
        <v>0</v>
      </c>
    </row>
    <row r="208" spans="1:11" ht="15">
      <c r="A208" s="264"/>
      <c r="B208" s="265">
        <v>42</v>
      </c>
      <c r="C208" s="266"/>
      <c r="D208" s="267" t="s">
        <v>218</v>
      </c>
      <c r="E208" s="350">
        <f t="shared" si="19"/>
        <v>2226.8</v>
      </c>
      <c r="F208" s="350">
        <f t="shared" si="19"/>
        <v>0</v>
      </c>
      <c r="G208" s="350">
        <f t="shared" si="19"/>
        <v>0</v>
      </c>
      <c r="H208" s="350">
        <f t="shared" si="19"/>
        <v>0</v>
      </c>
      <c r="I208" s="301"/>
      <c r="J208" s="300" t="e">
        <f t="shared" si="17"/>
        <v>#DIV/0!</v>
      </c>
      <c r="K208" s="300">
        <f t="shared" si="18"/>
        <v>0</v>
      </c>
    </row>
    <row r="209" spans="1:11" ht="15">
      <c r="A209" s="264"/>
      <c r="B209" s="269">
        <v>422</v>
      </c>
      <c r="C209" s="264"/>
      <c r="D209" s="264" t="s">
        <v>219</v>
      </c>
      <c r="E209" s="35">
        <f>E210+E212</f>
        <v>2226.8</v>
      </c>
      <c r="F209" s="35">
        <f>F210+F212</f>
        <v>0</v>
      </c>
      <c r="G209" s="35">
        <f>G210+G212</f>
        <v>0</v>
      </c>
      <c r="H209" s="35">
        <f>H210+H212</f>
        <v>0</v>
      </c>
      <c r="I209" s="304"/>
      <c r="J209" s="300" t="e">
        <f t="shared" si="17"/>
        <v>#DIV/0!</v>
      </c>
      <c r="K209" s="300">
        <f t="shared" si="18"/>
        <v>0</v>
      </c>
    </row>
    <row r="210" spans="1:11" ht="15">
      <c r="A210" s="264"/>
      <c r="B210" s="271" t="s">
        <v>220</v>
      </c>
      <c r="C210" s="89"/>
      <c r="D210" s="89" t="s">
        <v>221</v>
      </c>
      <c r="E210" s="37"/>
      <c r="F210" s="37"/>
      <c r="G210" s="29"/>
      <c r="H210" s="37"/>
      <c r="I210" s="304"/>
      <c r="J210" s="300" t="e">
        <f t="shared" si="17"/>
        <v>#DIV/0!</v>
      </c>
      <c r="K210" s="300" t="e">
        <f t="shared" si="18"/>
        <v>#DIV/0!</v>
      </c>
    </row>
    <row r="211" spans="1:11" ht="15">
      <c r="A211" s="264"/>
      <c r="B211" s="271" t="s">
        <v>264</v>
      </c>
      <c r="C211" s="89"/>
      <c r="D211" s="89" t="s">
        <v>225</v>
      </c>
      <c r="E211" s="37"/>
      <c r="F211" s="37"/>
      <c r="G211" s="29"/>
      <c r="H211" s="37"/>
      <c r="I211" s="304"/>
      <c r="J211" s="300"/>
      <c r="K211" s="300"/>
    </row>
    <row r="212" spans="1:11" ht="15">
      <c r="A212" s="264"/>
      <c r="B212" s="271" t="s">
        <v>342</v>
      </c>
      <c r="C212" s="89"/>
      <c r="D212" s="89" t="s">
        <v>227</v>
      </c>
      <c r="E212" s="37">
        <v>2226.8</v>
      </c>
      <c r="F212" s="37"/>
      <c r="G212" s="37"/>
      <c r="H212" s="37"/>
      <c r="I212" s="304"/>
      <c r="J212" s="300" t="e">
        <f aca="true" t="shared" si="20" ref="J212:J230">SUM(H212/G212*100)</f>
        <v>#DIV/0!</v>
      </c>
      <c r="K212" s="300">
        <f aca="true" t="shared" si="21" ref="K212:K230">SUM(H212/E212*100)</f>
        <v>0</v>
      </c>
    </row>
    <row r="213" spans="1:11" ht="15">
      <c r="A213" s="328"/>
      <c r="B213" s="329"/>
      <c r="C213" s="344">
        <v>52</v>
      </c>
      <c r="D213" s="345" t="s">
        <v>70</v>
      </c>
      <c r="E213" s="346">
        <f>E176+E207</f>
        <v>222795.59</v>
      </c>
      <c r="F213" s="346">
        <f>F176</f>
        <v>20704.760000000002</v>
      </c>
      <c r="G213" s="346">
        <f>G176</f>
        <v>200000</v>
      </c>
      <c r="H213" s="346">
        <f>H176+H207</f>
        <v>211897.13999999998</v>
      </c>
      <c r="I213" s="334">
        <f>SUM(H213/E213*100)</f>
        <v>95.10831879571762</v>
      </c>
      <c r="J213" s="300">
        <f t="shared" si="20"/>
        <v>105.94857</v>
      </c>
      <c r="K213" s="300">
        <f t="shared" si="21"/>
        <v>95.10831879571762</v>
      </c>
    </row>
    <row r="214" spans="1:11" ht="15">
      <c r="A214" s="260" t="s">
        <v>121</v>
      </c>
      <c r="B214" s="260"/>
      <c r="C214" s="261"/>
      <c r="D214" s="262" t="s">
        <v>122</v>
      </c>
      <c r="E214" s="263">
        <f>E215+E224</f>
        <v>135273.47</v>
      </c>
      <c r="F214" s="263">
        <f>F215+F224</f>
        <v>144686.71</v>
      </c>
      <c r="G214" s="263">
        <f>G215+G224</f>
        <v>129904.53</v>
      </c>
      <c r="H214" s="263">
        <f>H215+H224</f>
        <v>131015.88</v>
      </c>
      <c r="I214" s="299">
        <f>SUM(H214/E214*100)</f>
        <v>96.85260531869258</v>
      </c>
      <c r="J214" s="300">
        <f t="shared" si="20"/>
        <v>100.85551289088994</v>
      </c>
      <c r="K214" s="300">
        <f t="shared" si="21"/>
        <v>96.85260531869258</v>
      </c>
    </row>
    <row r="215" spans="1:11" ht="15">
      <c r="A215" s="264"/>
      <c r="B215" s="265">
        <v>31</v>
      </c>
      <c r="C215" s="266"/>
      <c r="D215" s="267" t="s">
        <v>123</v>
      </c>
      <c r="E215" s="268">
        <f>E216+E219+E221</f>
        <v>1684.75</v>
      </c>
      <c r="F215" s="268">
        <f>F216+F219+F221</f>
        <v>2654.46</v>
      </c>
      <c r="G215" s="268">
        <f>G216+G219+G221</f>
        <v>0</v>
      </c>
      <c r="H215" s="268">
        <f>H216+H219+H221</f>
        <v>0</v>
      </c>
      <c r="I215" s="301">
        <f>SUM(H215/E215*100)</f>
        <v>0</v>
      </c>
      <c r="J215" s="300" t="e">
        <f t="shared" si="20"/>
        <v>#DIV/0!</v>
      </c>
      <c r="K215" s="300">
        <f t="shared" si="21"/>
        <v>0</v>
      </c>
    </row>
    <row r="216" spans="1:11" ht="15">
      <c r="A216" s="264"/>
      <c r="B216" s="269">
        <v>311</v>
      </c>
      <c r="C216" s="89"/>
      <c r="D216" s="264" t="s">
        <v>124</v>
      </c>
      <c r="E216" s="270">
        <f>SUM(E217:E218)</f>
        <v>890.67</v>
      </c>
      <c r="F216" s="270">
        <f>SUM(F217:F218)</f>
        <v>1725.4</v>
      </c>
      <c r="G216" s="270">
        <f>SUM(G217:G217)</f>
        <v>0</v>
      </c>
      <c r="H216" s="270">
        <f>SUM(H217:H218)</f>
        <v>0</v>
      </c>
      <c r="I216" s="302"/>
      <c r="J216" s="300" t="e">
        <f t="shared" si="20"/>
        <v>#DIV/0!</v>
      </c>
      <c r="K216" s="300">
        <f t="shared" si="21"/>
        <v>0</v>
      </c>
    </row>
    <row r="217" spans="1:11" ht="15">
      <c r="A217" s="89"/>
      <c r="B217" s="271">
        <v>3111</v>
      </c>
      <c r="C217" s="89"/>
      <c r="D217" s="89" t="s">
        <v>125</v>
      </c>
      <c r="E217" s="272">
        <v>890.67</v>
      </c>
      <c r="F217" s="272">
        <v>1725.4</v>
      </c>
      <c r="G217" s="272"/>
      <c r="H217" s="272"/>
      <c r="I217" s="302"/>
      <c r="J217" s="300" t="e">
        <f t="shared" si="20"/>
        <v>#DIV/0!</v>
      </c>
      <c r="K217" s="300">
        <f t="shared" si="21"/>
        <v>0</v>
      </c>
    </row>
    <row r="218" spans="1:11" ht="15">
      <c r="A218" s="89"/>
      <c r="B218" s="271" t="s">
        <v>130</v>
      </c>
      <c r="C218" s="89"/>
      <c r="D218" s="89" t="s">
        <v>246</v>
      </c>
      <c r="E218" s="272"/>
      <c r="F218" s="272"/>
      <c r="G218" s="272"/>
      <c r="H218" s="272"/>
      <c r="I218" s="302"/>
      <c r="J218" s="300" t="e">
        <f t="shared" si="20"/>
        <v>#DIV/0!</v>
      </c>
      <c r="K218" s="300" t="e">
        <f t="shared" si="21"/>
        <v>#DIV/0!</v>
      </c>
    </row>
    <row r="219" spans="1:11" ht="15">
      <c r="A219" s="264"/>
      <c r="B219" s="269" t="s">
        <v>132</v>
      </c>
      <c r="C219" s="264"/>
      <c r="D219" s="264" t="s">
        <v>133</v>
      </c>
      <c r="E219" s="270">
        <f>SUM(E220)</f>
        <v>0</v>
      </c>
      <c r="F219" s="270">
        <f>SUM(F220)</f>
        <v>0</v>
      </c>
      <c r="G219" s="270">
        <f>SUM(G220)</f>
        <v>0</v>
      </c>
      <c r="H219" s="270">
        <f>SUM(H220)</f>
        <v>0</v>
      </c>
      <c r="I219" s="304"/>
      <c r="J219" s="300" t="e">
        <f t="shared" si="20"/>
        <v>#DIV/0!</v>
      </c>
      <c r="K219" s="300" t="e">
        <f t="shared" si="21"/>
        <v>#DIV/0!</v>
      </c>
    </row>
    <row r="220" spans="1:11" ht="15">
      <c r="A220" s="89"/>
      <c r="B220" s="271" t="s">
        <v>134</v>
      </c>
      <c r="C220" s="89"/>
      <c r="D220" s="89" t="s">
        <v>133</v>
      </c>
      <c r="E220" s="272"/>
      <c r="F220" s="272"/>
      <c r="G220" s="272"/>
      <c r="H220" s="272"/>
      <c r="I220" s="304"/>
      <c r="J220" s="300" t="e">
        <f t="shared" si="20"/>
        <v>#DIV/0!</v>
      </c>
      <c r="K220" s="300" t="e">
        <f t="shared" si="21"/>
        <v>#DIV/0!</v>
      </c>
    </row>
    <row r="221" spans="1:11" ht="15">
      <c r="A221" s="264"/>
      <c r="B221" s="273">
        <v>313</v>
      </c>
      <c r="C221" s="264"/>
      <c r="D221" s="264" t="s">
        <v>135</v>
      </c>
      <c r="E221" s="35">
        <f>SUM(E222:E223)</f>
        <v>794.0799999999999</v>
      </c>
      <c r="F221" s="35">
        <f>SUM(F222:F223)</f>
        <v>929.06</v>
      </c>
      <c r="G221" s="35">
        <f>SUM(G222:G223)</f>
        <v>0</v>
      </c>
      <c r="H221" s="35">
        <f>SUM(H222:H223)</f>
        <v>0</v>
      </c>
      <c r="I221" s="302"/>
      <c r="J221" s="300" t="e">
        <f t="shared" si="20"/>
        <v>#DIV/0!</v>
      </c>
      <c r="K221" s="300">
        <f t="shared" si="21"/>
        <v>0</v>
      </c>
    </row>
    <row r="222" spans="1:11" ht="15">
      <c r="A222" s="89"/>
      <c r="B222" s="274" t="s">
        <v>260</v>
      </c>
      <c r="C222" s="89"/>
      <c r="D222" s="89" t="s">
        <v>261</v>
      </c>
      <c r="E222" s="37">
        <v>452.62</v>
      </c>
      <c r="F222" s="37">
        <v>530.89</v>
      </c>
      <c r="G222" s="37"/>
      <c r="H222" s="37"/>
      <c r="I222" s="302"/>
      <c r="J222" s="300" t="e">
        <f t="shared" si="20"/>
        <v>#DIV/0!</v>
      </c>
      <c r="K222" s="300">
        <f t="shared" si="21"/>
        <v>0</v>
      </c>
    </row>
    <row r="223" spans="1:11" ht="15">
      <c r="A223" s="89"/>
      <c r="B223" s="274">
        <v>3132</v>
      </c>
      <c r="C223" s="89"/>
      <c r="D223" s="89" t="s">
        <v>136</v>
      </c>
      <c r="E223" s="37">
        <v>341.46</v>
      </c>
      <c r="F223" s="37">
        <v>398.17</v>
      </c>
      <c r="G223" s="37"/>
      <c r="H223" s="37"/>
      <c r="I223" s="302"/>
      <c r="J223" s="300" t="e">
        <f t="shared" si="20"/>
        <v>#DIV/0!</v>
      </c>
      <c r="K223" s="300">
        <f t="shared" si="21"/>
        <v>0</v>
      </c>
    </row>
    <row r="224" spans="1:11" ht="15">
      <c r="A224" s="264"/>
      <c r="B224" s="265">
        <v>32</v>
      </c>
      <c r="C224" s="266"/>
      <c r="D224" s="267" t="s">
        <v>137</v>
      </c>
      <c r="E224" s="268">
        <f>E225+E229+E232</f>
        <v>133588.72</v>
      </c>
      <c r="F224" s="268">
        <f>F225+F229+F232</f>
        <v>142032.25</v>
      </c>
      <c r="G224" s="268">
        <f>G225+G229+G232</f>
        <v>129904.53</v>
      </c>
      <c r="H224" s="268">
        <f>H225+H229+H232+H236</f>
        <v>131015.88</v>
      </c>
      <c r="I224" s="301">
        <f>SUM(H224/E224*100)</f>
        <v>98.07405894749198</v>
      </c>
      <c r="J224" s="300">
        <f t="shared" si="20"/>
        <v>100.85551289088994</v>
      </c>
      <c r="K224" s="300">
        <f t="shared" si="21"/>
        <v>98.07405894749198</v>
      </c>
    </row>
    <row r="225" spans="1:11" ht="15">
      <c r="A225" s="264"/>
      <c r="B225" s="269">
        <v>321</v>
      </c>
      <c r="C225" s="264"/>
      <c r="D225" s="264" t="s">
        <v>138</v>
      </c>
      <c r="E225" s="270">
        <f>SUM(E226:E228)</f>
        <v>0</v>
      </c>
      <c r="F225" s="270">
        <f>SUM(F226:F227)</f>
        <v>0</v>
      </c>
      <c r="G225" s="270">
        <f>SUM(G226:G227)</f>
        <v>0</v>
      </c>
      <c r="H225" s="270">
        <f>SUM(H226:H227)</f>
        <v>0</v>
      </c>
      <c r="I225" s="302"/>
      <c r="J225" s="300" t="e">
        <f t="shared" si="20"/>
        <v>#DIV/0!</v>
      </c>
      <c r="K225" s="300" t="e">
        <f t="shared" si="21"/>
        <v>#DIV/0!</v>
      </c>
    </row>
    <row r="226" spans="1:11" ht="15">
      <c r="A226" s="89"/>
      <c r="B226" s="271" t="s">
        <v>139</v>
      </c>
      <c r="C226" s="89"/>
      <c r="D226" s="89" t="s">
        <v>140</v>
      </c>
      <c r="E226" s="272"/>
      <c r="F226" s="272"/>
      <c r="G226" s="272"/>
      <c r="H226" s="272"/>
      <c r="I226" s="302"/>
      <c r="J226" s="300" t="e">
        <f t="shared" si="20"/>
        <v>#DIV/0!</v>
      </c>
      <c r="K226" s="300" t="e">
        <f t="shared" si="21"/>
        <v>#DIV/0!</v>
      </c>
    </row>
    <row r="227" spans="1:11" ht="15">
      <c r="A227" s="89"/>
      <c r="B227" s="271" t="s">
        <v>141</v>
      </c>
      <c r="C227" s="89"/>
      <c r="D227" s="275" t="s">
        <v>142</v>
      </c>
      <c r="E227" s="272"/>
      <c r="F227" s="272"/>
      <c r="G227" s="272"/>
      <c r="H227" s="272"/>
      <c r="I227" s="302"/>
      <c r="J227" s="300" t="e">
        <f t="shared" si="20"/>
        <v>#DIV/0!</v>
      </c>
      <c r="K227" s="300" t="e">
        <f t="shared" si="21"/>
        <v>#DIV/0!</v>
      </c>
    </row>
    <row r="228" spans="1:11" ht="15">
      <c r="A228" s="89"/>
      <c r="B228" s="271" t="s">
        <v>143</v>
      </c>
      <c r="C228" s="89"/>
      <c r="D228" s="275" t="s">
        <v>144</v>
      </c>
      <c r="E228" s="272"/>
      <c r="F228" s="272"/>
      <c r="G228" s="272"/>
      <c r="H228" s="272"/>
      <c r="I228" s="302"/>
      <c r="J228" s="300" t="e">
        <f t="shared" si="20"/>
        <v>#DIV/0!</v>
      </c>
      <c r="K228" s="300" t="e">
        <f t="shared" si="21"/>
        <v>#DIV/0!</v>
      </c>
    </row>
    <row r="229" spans="1:11" ht="15">
      <c r="A229" s="264"/>
      <c r="B229" s="269" t="s">
        <v>147</v>
      </c>
      <c r="C229" s="264"/>
      <c r="D229" s="276" t="s">
        <v>148</v>
      </c>
      <c r="E229" s="270">
        <f>SUM(E230:E230)</f>
        <v>8709.74</v>
      </c>
      <c r="F229" s="270">
        <f>SUM(F230:F230)</f>
        <v>5308.91</v>
      </c>
      <c r="G229" s="270">
        <f>SUM(G230:G230)</f>
        <v>6761.17</v>
      </c>
      <c r="H229" s="270">
        <f>H230+H231</f>
        <v>7806.3</v>
      </c>
      <c r="I229" s="302"/>
      <c r="J229" s="300">
        <f t="shared" si="20"/>
        <v>115.45782756534742</v>
      </c>
      <c r="K229" s="300">
        <f t="shared" si="21"/>
        <v>89.62724490053664</v>
      </c>
    </row>
    <row r="230" spans="1:11" ht="15">
      <c r="A230" s="264"/>
      <c r="B230" s="271" t="s">
        <v>155</v>
      </c>
      <c r="C230" s="264"/>
      <c r="D230" s="89" t="s">
        <v>156</v>
      </c>
      <c r="E230" s="272">
        <v>8709.74</v>
      </c>
      <c r="F230" s="272">
        <v>5308.91</v>
      </c>
      <c r="G230" s="272">
        <v>6761.17</v>
      </c>
      <c r="H230" s="272">
        <v>6761.17</v>
      </c>
      <c r="I230" s="302"/>
      <c r="J230" s="300">
        <f t="shared" si="20"/>
        <v>100</v>
      </c>
      <c r="K230" s="300">
        <f t="shared" si="21"/>
        <v>77.62769037881728</v>
      </c>
    </row>
    <row r="231" spans="1:11" ht="15">
      <c r="A231" s="264"/>
      <c r="B231" s="271" t="s">
        <v>157</v>
      </c>
      <c r="C231" s="264"/>
      <c r="D231" s="89" t="s">
        <v>343</v>
      </c>
      <c r="E231" s="272"/>
      <c r="F231" s="272"/>
      <c r="G231" s="272"/>
      <c r="H231" s="272">
        <v>1045.13</v>
      </c>
      <c r="I231" s="302"/>
      <c r="J231" s="300"/>
      <c r="K231" s="300"/>
    </row>
    <row r="232" spans="1:11" ht="15">
      <c r="A232" s="264"/>
      <c r="B232" s="269" t="s">
        <v>161</v>
      </c>
      <c r="C232" s="264"/>
      <c r="D232" s="276" t="s">
        <v>162</v>
      </c>
      <c r="E232" s="270">
        <f>E233+E234+E235</f>
        <v>124878.98</v>
      </c>
      <c r="F232" s="270">
        <f>F233</f>
        <v>136723.34</v>
      </c>
      <c r="G232" s="270">
        <f>G233</f>
        <v>123143.36</v>
      </c>
      <c r="H232" s="270">
        <f>H233</f>
        <v>123143.36</v>
      </c>
      <c r="I232" s="302"/>
      <c r="J232" s="300">
        <f>SUM(H232/G232*100)</f>
        <v>100</v>
      </c>
      <c r="K232" s="300">
        <f>SUM(H232/E232*100)</f>
        <v>98.61015841096716</v>
      </c>
    </row>
    <row r="233" spans="1:11" ht="15">
      <c r="A233" s="89"/>
      <c r="B233" s="271" t="s">
        <v>165</v>
      </c>
      <c r="C233" s="89"/>
      <c r="D233" s="275" t="s">
        <v>166</v>
      </c>
      <c r="E233" s="272">
        <v>124572.89</v>
      </c>
      <c r="F233" s="272">
        <v>136723.34</v>
      </c>
      <c r="G233" s="272">
        <v>123143.36</v>
      </c>
      <c r="H233" s="272">
        <v>123143.36</v>
      </c>
      <c r="I233" s="302"/>
      <c r="J233" s="300">
        <f>SUM(H233/G233*100)</f>
        <v>100</v>
      </c>
      <c r="K233" s="300">
        <f>SUM(H233/E233*100)</f>
        <v>98.85245497635962</v>
      </c>
    </row>
    <row r="234" spans="1:11" ht="15">
      <c r="A234" s="89"/>
      <c r="B234" s="271" t="s">
        <v>253</v>
      </c>
      <c r="C234" s="89"/>
      <c r="D234" s="275" t="s">
        <v>344</v>
      </c>
      <c r="E234" s="272">
        <v>199.08</v>
      </c>
      <c r="F234" s="272"/>
      <c r="G234" s="272"/>
      <c r="H234" s="272"/>
      <c r="I234" s="302"/>
      <c r="J234" s="300"/>
      <c r="K234" s="300"/>
    </row>
    <row r="235" spans="1:11" ht="15">
      <c r="A235" s="264"/>
      <c r="B235" s="271" t="s">
        <v>176</v>
      </c>
      <c r="C235" s="264"/>
      <c r="D235" s="275" t="s">
        <v>177</v>
      </c>
      <c r="E235" s="272">
        <v>107.01</v>
      </c>
      <c r="F235" s="272"/>
      <c r="G235" s="272"/>
      <c r="H235" s="272"/>
      <c r="I235" s="302"/>
      <c r="J235" s="300" t="e">
        <f>SUM(H235/G235*100)</f>
        <v>#DIV/0!</v>
      </c>
      <c r="K235" s="300">
        <f>SUM(H235/E235*100)</f>
        <v>0</v>
      </c>
    </row>
    <row r="236" spans="1:11" ht="15">
      <c r="A236" s="264"/>
      <c r="B236" s="269" t="s">
        <v>254</v>
      </c>
      <c r="C236" s="264"/>
      <c r="D236" s="276" t="s">
        <v>179</v>
      </c>
      <c r="E236" s="270"/>
      <c r="F236" s="270"/>
      <c r="G236" s="270"/>
      <c r="H236" s="270">
        <f>H237</f>
        <v>66.22</v>
      </c>
      <c r="I236" s="302"/>
      <c r="J236" s="300"/>
      <c r="K236" s="300"/>
    </row>
    <row r="237" spans="1:11" ht="15">
      <c r="A237" s="264"/>
      <c r="B237" s="271" t="s">
        <v>256</v>
      </c>
      <c r="C237" s="264"/>
      <c r="D237" s="275" t="s">
        <v>183</v>
      </c>
      <c r="E237" s="272"/>
      <c r="F237" s="272"/>
      <c r="G237" s="272"/>
      <c r="H237" s="272">
        <v>66.22</v>
      </c>
      <c r="I237" s="302"/>
      <c r="J237" s="300"/>
      <c r="K237" s="300"/>
    </row>
    <row r="238" spans="1:11" ht="15">
      <c r="A238" s="318">
        <v>4</v>
      </c>
      <c r="B238" s="319"/>
      <c r="C238" s="320"/>
      <c r="D238" s="321" t="s">
        <v>209</v>
      </c>
      <c r="E238" s="322">
        <f>E239+E247</f>
        <v>312419.4</v>
      </c>
      <c r="F238" s="322">
        <f>F239+F247</f>
        <v>370031.19</v>
      </c>
      <c r="G238" s="322">
        <f>G239+G247</f>
        <v>384358.91</v>
      </c>
      <c r="H238" s="322">
        <f>H239+H242</f>
        <v>383247.56</v>
      </c>
      <c r="I238" s="299">
        <f>SUM(H238/E238*100)</f>
        <v>122.670858467816</v>
      </c>
      <c r="J238" s="300">
        <f>SUM(H238/G238*100)</f>
        <v>99.710856189076</v>
      </c>
      <c r="K238" s="300">
        <f>SUM(H238/E238*100)</f>
        <v>122.670858467816</v>
      </c>
    </row>
    <row r="239" spans="1:11" ht="15">
      <c r="A239" s="362"/>
      <c r="B239" s="265" t="s">
        <v>345</v>
      </c>
      <c r="C239" s="266"/>
      <c r="D239" s="324" t="s">
        <v>346</v>
      </c>
      <c r="E239" s="287">
        <f>E240+E242</f>
        <v>312419.4</v>
      </c>
      <c r="F239" s="287">
        <f>F240+F242</f>
        <v>370031.19</v>
      </c>
      <c r="G239" s="287">
        <f>G240+G242</f>
        <v>384358.91</v>
      </c>
      <c r="H239" s="287">
        <f>H240</f>
        <v>320399.86</v>
      </c>
      <c r="I239" s="299"/>
      <c r="J239" s="300"/>
      <c r="K239" s="300"/>
    </row>
    <row r="240" spans="1:11" ht="15">
      <c r="A240" s="362"/>
      <c r="B240" s="363">
        <v>421</v>
      </c>
      <c r="C240" s="364"/>
      <c r="D240" s="365" t="s">
        <v>242</v>
      </c>
      <c r="E240" s="366">
        <f>E241</f>
        <v>231126.68</v>
      </c>
      <c r="F240" s="366">
        <f>F241</f>
        <v>301015.33</v>
      </c>
      <c r="G240" s="366">
        <f>G241</f>
        <v>320399.86</v>
      </c>
      <c r="H240" s="366">
        <f>H241</f>
        <v>320399.86</v>
      </c>
      <c r="I240" s="299"/>
      <c r="J240" s="300"/>
      <c r="K240" s="300"/>
    </row>
    <row r="241" spans="1:11" ht="15">
      <c r="A241" s="362"/>
      <c r="B241" s="367">
        <v>4212</v>
      </c>
      <c r="C241" s="368"/>
      <c r="D241" s="369" t="s">
        <v>244</v>
      </c>
      <c r="E241" s="370">
        <v>231126.68</v>
      </c>
      <c r="F241" s="370">
        <v>301015.33</v>
      </c>
      <c r="G241" s="370">
        <v>320399.86</v>
      </c>
      <c r="H241" s="370">
        <v>320399.86</v>
      </c>
      <c r="I241" s="299"/>
      <c r="J241" s="300"/>
      <c r="K241" s="300"/>
    </row>
    <row r="242" spans="1:11" ht="15">
      <c r="A242" s="362"/>
      <c r="B242" s="363">
        <v>422</v>
      </c>
      <c r="C242" s="364"/>
      <c r="D242" s="365" t="s">
        <v>219</v>
      </c>
      <c r="E242" s="366">
        <f>E243+E244+E245+E246</f>
        <v>81292.72</v>
      </c>
      <c r="F242" s="366">
        <f>F243+F244+F245+F246</f>
        <v>69015.86</v>
      </c>
      <c r="G242" s="366">
        <f>G243+G244+G245+G246</f>
        <v>63959.049999999996</v>
      </c>
      <c r="H242" s="366">
        <f>H243+H244+H245+H246</f>
        <v>62847.700000000004</v>
      </c>
      <c r="I242" s="299"/>
      <c r="J242" s="300"/>
      <c r="K242" s="300"/>
    </row>
    <row r="243" spans="1:11" ht="15">
      <c r="A243" s="362"/>
      <c r="B243" s="367">
        <v>4221</v>
      </c>
      <c r="C243" s="368"/>
      <c r="D243" s="369" t="s">
        <v>221</v>
      </c>
      <c r="E243" s="370"/>
      <c r="F243" s="370">
        <v>31853.47</v>
      </c>
      <c r="G243" s="370">
        <v>34783.27</v>
      </c>
      <c r="H243" s="370">
        <v>34359.91</v>
      </c>
      <c r="I243" s="299"/>
      <c r="J243" s="300"/>
      <c r="K243" s="300"/>
    </row>
    <row r="244" spans="1:11" ht="15">
      <c r="A244" s="362"/>
      <c r="B244" s="367">
        <v>4222</v>
      </c>
      <c r="C244" s="368"/>
      <c r="D244" s="369" t="s">
        <v>223</v>
      </c>
      <c r="E244" s="370"/>
      <c r="F244" s="370"/>
      <c r="G244" s="370"/>
      <c r="H244" s="370"/>
      <c r="I244" s="299"/>
      <c r="J244" s="300"/>
      <c r="K244" s="300"/>
    </row>
    <row r="245" spans="1:11" ht="15">
      <c r="A245" s="362"/>
      <c r="B245" s="367">
        <v>4223</v>
      </c>
      <c r="C245" s="368"/>
      <c r="D245" s="369" t="s">
        <v>224</v>
      </c>
      <c r="E245" s="370"/>
      <c r="F245" s="370"/>
      <c r="G245" s="370"/>
      <c r="H245" s="370"/>
      <c r="I245" s="299"/>
      <c r="J245" s="300"/>
      <c r="K245" s="300"/>
    </row>
    <row r="246" spans="1:11" ht="15">
      <c r="A246" s="362"/>
      <c r="B246" s="367">
        <v>4224</v>
      </c>
      <c r="C246" s="368"/>
      <c r="D246" s="369" t="s">
        <v>225</v>
      </c>
      <c r="E246" s="370">
        <v>81292.72</v>
      </c>
      <c r="F246" s="370">
        <v>37162.39</v>
      </c>
      <c r="G246" s="370">
        <v>29175.78</v>
      </c>
      <c r="H246" s="370">
        <v>28487.79</v>
      </c>
      <c r="I246" s="299"/>
      <c r="J246" s="300"/>
      <c r="K246" s="300"/>
    </row>
    <row r="247" spans="1:11" ht="15">
      <c r="A247" s="264"/>
      <c r="B247" s="265" t="s">
        <v>231</v>
      </c>
      <c r="C247" s="266"/>
      <c r="D247" s="324" t="s">
        <v>232</v>
      </c>
      <c r="E247" s="287">
        <f aca="true" t="shared" si="22" ref="E247:H248">E248</f>
        <v>0</v>
      </c>
      <c r="F247" s="287">
        <f t="shared" si="22"/>
        <v>0</v>
      </c>
      <c r="G247" s="287">
        <f t="shared" si="22"/>
        <v>0</v>
      </c>
      <c r="H247" s="287">
        <f t="shared" si="22"/>
        <v>0</v>
      </c>
      <c r="I247" s="301" t="e">
        <f aca="true" t="shared" si="23" ref="I247:I252">SUM(H247/E247*100)</f>
        <v>#DIV/0!</v>
      </c>
      <c r="J247" s="300" t="e">
        <f aca="true" t="shared" si="24" ref="J247:J254">SUM(H247/G247*100)</f>
        <v>#DIV/0!</v>
      </c>
      <c r="K247" s="300" t="e">
        <f aca="true" t="shared" si="25" ref="K247:K254">SUM(H247/E247*100)</f>
        <v>#DIV/0!</v>
      </c>
    </row>
    <row r="248" spans="1:11" ht="15">
      <c r="A248" s="264"/>
      <c r="B248" s="269" t="s">
        <v>233</v>
      </c>
      <c r="C248" s="264"/>
      <c r="D248" s="264" t="s">
        <v>234</v>
      </c>
      <c r="E248" s="270">
        <f t="shared" si="22"/>
        <v>0</v>
      </c>
      <c r="F248" s="270">
        <f t="shared" si="22"/>
        <v>0</v>
      </c>
      <c r="G248" s="270">
        <f t="shared" si="22"/>
        <v>0</v>
      </c>
      <c r="H248" s="270">
        <f t="shared" si="22"/>
        <v>0</v>
      </c>
      <c r="I248" s="304"/>
      <c r="J248" s="300" t="e">
        <f t="shared" si="24"/>
        <v>#DIV/0!</v>
      </c>
      <c r="K248" s="300" t="e">
        <f t="shared" si="25"/>
        <v>#DIV/0!</v>
      </c>
    </row>
    <row r="249" spans="1:11" ht="15">
      <c r="A249" s="264"/>
      <c r="B249" s="271" t="s">
        <v>235</v>
      </c>
      <c r="C249" s="89"/>
      <c r="D249" s="89" t="s">
        <v>234</v>
      </c>
      <c r="E249" s="272"/>
      <c r="F249" s="272"/>
      <c r="G249" s="272"/>
      <c r="H249" s="272"/>
      <c r="I249" s="302"/>
      <c r="J249" s="300" t="e">
        <f t="shared" si="24"/>
        <v>#DIV/0!</v>
      </c>
      <c r="K249" s="300" t="e">
        <f t="shared" si="25"/>
        <v>#DIV/0!</v>
      </c>
    </row>
    <row r="250" spans="1:11" ht="15">
      <c r="A250" s="328"/>
      <c r="B250" s="329"/>
      <c r="C250" s="344" t="s">
        <v>347</v>
      </c>
      <c r="D250" s="345" t="s">
        <v>115</v>
      </c>
      <c r="E250" s="346">
        <f>E214+E238</f>
        <v>447692.87</v>
      </c>
      <c r="F250" s="346">
        <f>F214+F238</f>
        <v>514717.9</v>
      </c>
      <c r="G250" s="346">
        <f>G214+G238</f>
        <v>514263.43999999994</v>
      </c>
      <c r="H250" s="346">
        <f>H214+H238</f>
        <v>514263.44</v>
      </c>
      <c r="I250" s="360">
        <f t="shared" si="23"/>
        <v>114.8696962719107</v>
      </c>
      <c r="J250" s="300">
        <f t="shared" si="24"/>
        <v>100.00000000000003</v>
      </c>
      <c r="K250" s="300">
        <f t="shared" si="25"/>
        <v>114.8696962719107</v>
      </c>
    </row>
    <row r="251" spans="1:11" ht="15">
      <c r="A251" s="260" t="s">
        <v>121</v>
      </c>
      <c r="B251" s="260"/>
      <c r="C251" s="261"/>
      <c r="D251" s="262" t="s">
        <v>122</v>
      </c>
      <c r="E251" s="371">
        <f>E252</f>
        <v>0</v>
      </c>
      <c r="F251" s="371">
        <f>F252</f>
        <v>0</v>
      </c>
      <c r="G251" s="371">
        <f>G252</f>
        <v>1253.29</v>
      </c>
      <c r="H251" s="371">
        <f>H252+H255</f>
        <v>1467.15</v>
      </c>
      <c r="I251" s="299" t="e">
        <f t="shared" si="23"/>
        <v>#DIV/0!</v>
      </c>
      <c r="J251" s="300">
        <f t="shared" si="24"/>
        <v>117.06388784718622</v>
      </c>
      <c r="K251" s="300" t="e">
        <f t="shared" si="25"/>
        <v>#DIV/0!</v>
      </c>
    </row>
    <row r="252" spans="1:11" ht="15">
      <c r="A252" s="264"/>
      <c r="B252" s="265">
        <v>32</v>
      </c>
      <c r="C252" s="266"/>
      <c r="D252" s="267" t="s">
        <v>137</v>
      </c>
      <c r="E252" s="287">
        <f>E253+E258</f>
        <v>0</v>
      </c>
      <c r="F252" s="287">
        <f>F253+F258</f>
        <v>0</v>
      </c>
      <c r="G252" s="287">
        <f>G253+G258</f>
        <v>1253.29</v>
      </c>
      <c r="H252" s="287">
        <f>H253+H258</f>
        <v>460</v>
      </c>
      <c r="I252" s="301" t="e">
        <f t="shared" si="23"/>
        <v>#DIV/0!</v>
      </c>
      <c r="J252" s="300">
        <f t="shared" si="24"/>
        <v>36.70339665999091</v>
      </c>
      <c r="K252" s="300" t="e">
        <f t="shared" si="25"/>
        <v>#DIV/0!</v>
      </c>
    </row>
    <row r="253" spans="1:11" ht="15">
      <c r="A253" s="264"/>
      <c r="B253" s="269" t="s">
        <v>147</v>
      </c>
      <c r="C253" s="264"/>
      <c r="D253" s="264" t="s">
        <v>138</v>
      </c>
      <c r="E253" s="270">
        <f>E257+E254</f>
        <v>0</v>
      </c>
      <c r="F253" s="270">
        <f>F257+F254</f>
        <v>0</v>
      </c>
      <c r="G253" s="270">
        <f>G257+G254</f>
        <v>0</v>
      </c>
      <c r="H253" s="270">
        <f>H254</f>
        <v>460</v>
      </c>
      <c r="I253" s="302"/>
      <c r="J253" s="300" t="e">
        <f t="shared" si="24"/>
        <v>#DIV/0!</v>
      </c>
      <c r="K253" s="300" t="e">
        <f t="shared" si="25"/>
        <v>#DIV/0!</v>
      </c>
    </row>
    <row r="254" spans="1:11" ht="15">
      <c r="A254" s="89"/>
      <c r="B254" s="271" t="s">
        <v>151</v>
      </c>
      <c r="C254" s="89"/>
      <c r="D254" s="89" t="s">
        <v>152</v>
      </c>
      <c r="E254" s="272"/>
      <c r="F254" s="272"/>
      <c r="G254" s="272"/>
      <c r="H254" s="272">
        <v>460</v>
      </c>
      <c r="I254" s="302"/>
      <c r="J254" s="300" t="e">
        <f t="shared" si="24"/>
        <v>#DIV/0!</v>
      </c>
      <c r="K254" s="300" t="e">
        <f t="shared" si="25"/>
        <v>#DIV/0!</v>
      </c>
    </row>
    <row r="255" spans="1:11" ht="15">
      <c r="A255" s="89"/>
      <c r="B255" s="269" t="s">
        <v>161</v>
      </c>
      <c r="C255" s="264"/>
      <c r="D255" s="264" t="s">
        <v>162</v>
      </c>
      <c r="E255" s="270"/>
      <c r="F255" s="270"/>
      <c r="G255" s="270"/>
      <c r="H255" s="270">
        <f>H256+H257</f>
        <v>1007.15</v>
      </c>
      <c r="I255" s="302"/>
      <c r="J255" s="300"/>
      <c r="K255" s="300"/>
    </row>
    <row r="256" spans="1:11" ht="15">
      <c r="A256" s="89"/>
      <c r="B256" s="271" t="s">
        <v>167</v>
      </c>
      <c r="C256" s="89"/>
      <c r="D256" s="89" t="s">
        <v>168</v>
      </c>
      <c r="E256" s="272"/>
      <c r="F256" s="272"/>
      <c r="G256" s="272"/>
      <c r="H256" s="272">
        <v>157.15</v>
      </c>
      <c r="I256" s="302"/>
      <c r="J256" s="300"/>
      <c r="K256" s="300"/>
    </row>
    <row r="257" spans="1:11" ht="15">
      <c r="A257" s="89"/>
      <c r="B257" s="271" t="s">
        <v>176</v>
      </c>
      <c r="C257" s="89"/>
      <c r="D257" s="89" t="s">
        <v>348</v>
      </c>
      <c r="E257" s="272"/>
      <c r="F257" s="272"/>
      <c r="G257" s="272"/>
      <c r="H257" s="272">
        <v>850</v>
      </c>
      <c r="I257" s="302"/>
      <c r="J257" s="300" t="e">
        <f>SUM(H257/G257*100)</f>
        <v>#DIV/0!</v>
      </c>
      <c r="K257" s="300" t="e">
        <f>SUM(H257/E257*100)</f>
        <v>#DIV/0!</v>
      </c>
    </row>
    <row r="258" spans="1:11" s="246" customFormat="1" ht="15">
      <c r="A258" s="264"/>
      <c r="B258" s="269" t="s">
        <v>254</v>
      </c>
      <c r="C258" s="264"/>
      <c r="D258" s="264" t="s">
        <v>179</v>
      </c>
      <c r="E258" s="270">
        <f>E259</f>
        <v>0</v>
      </c>
      <c r="F258" s="270">
        <f>F259</f>
        <v>0</v>
      </c>
      <c r="G258" s="270">
        <f>G259</f>
        <v>1253.29</v>
      </c>
      <c r="H258" s="270">
        <f>H259</f>
        <v>0</v>
      </c>
      <c r="I258" s="304"/>
      <c r="J258" s="300">
        <f>SUM(H258/G258*100)</f>
        <v>0</v>
      </c>
      <c r="K258" s="300" t="e">
        <f>SUM(H258/E258*100)</f>
        <v>#DIV/0!</v>
      </c>
    </row>
    <row r="259" spans="1:11" ht="15">
      <c r="A259" s="89"/>
      <c r="B259" s="271" t="s">
        <v>187</v>
      </c>
      <c r="C259" s="89"/>
      <c r="D259" s="89" t="s">
        <v>179</v>
      </c>
      <c r="E259" s="272"/>
      <c r="F259" s="272"/>
      <c r="G259" s="272">
        <v>1253.29</v>
      </c>
      <c r="H259" s="272"/>
      <c r="I259" s="302"/>
      <c r="J259" s="300">
        <f>SUM(H259/G259*100)</f>
        <v>0</v>
      </c>
      <c r="K259" s="300" t="e">
        <f>SUM(H259/E259*100)</f>
        <v>#DIV/0!</v>
      </c>
    </row>
    <row r="260" spans="1:11" ht="15">
      <c r="A260" s="372">
        <v>4</v>
      </c>
      <c r="B260" s="373"/>
      <c r="C260" s="374"/>
      <c r="D260" s="321" t="s">
        <v>209</v>
      </c>
      <c r="E260" s="322">
        <f>E261</f>
        <v>0</v>
      </c>
      <c r="F260" s="322">
        <f>F261</f>
        <v>0</v>
      </c>
      <c r="G260" s="322">
        <f>G261</f>
        <v>56.71</v>
      </c>
      <c r="H260" s="322">
        <f>H262+H264</f>
        <v>4842.85</v>
      </c>
      <c r="I260" s="299" t="e">
        <f>SUM(H260/E260*100)</f>
        <v>#DIV/0!</v>
      </c>
      <c r="J260" s="300">
        <f>SUM(H260/G260*100)</f>
        <v>8539.675542232411</v>
      </c>
      <c r="K260" s="300" t="e">
        <f>SUM(H260/E260*100)</f>
        <v>#DIV/0!</v>
      </c>
    </row>
    <row r="261" spans="1:11" ht="15">
      <c r="A261" s="375"/>
      <c r="B261" s="265">
        <v>42</v>
      </c>
      <c r="C261" s="266"/>
      <c r="D261" s="267" t="s">
        <v>218</v>
      </c>
      <c r="E261" s="287">
        <f>E264</f>
        <v>0</v>
      </c>
      <c r="F261" s="287">
        <f>F264</f>
        <v>0</v>
      </c>
      <c r="G261" s="287">
        <f>G264</f>
        <v>56.71</v>
      </c>
      <c r="H261" s="287">
        <f>H264</f>
        <v>2252.46</v>
      </c>
      <c r="I261" s="301" t="e">
        <f>SUM(H261/E261*100)</f>
        <v>#DIV/0!</v>
      </c>
      <c r="J261" s="300">
        <f>SUM(H261/G261*100)</f>
        <v>3971.892082525128</v>
      </c>
      <c r="K261" s="300" t="e">
        <f>SUM(H261/E261*100)</f>
        <v>#DIV/0!</v>
      </c>
    </row>
    <row r="262" spans="1:11" ht="15">
      <c r="A262" s="375"/>
      <c r="B262" s="364" t="s">
        <v>241</v>
      </c>
      <c r="C262" s="376"/>
      <c r="D262" s="365" t="s">
        <v>242</v>
      </c>
      <c r="E262" s="366"/>
      <c r="F262" s="366"/>
      <c r="G262" s="366"/>
      <c r="H262" s="366">
        <f>H263</f>
        <v>2590.39</v>
      </c>
      <c r="I262" s="301"/>
      <c r="J262" s="300"/>
      <c r="K262" s="300"/>
    </row>
    <row r="263" spans="1:11" ht="15">
      <c r="A263" s="375"/>
      <c r="B263" s="368" t="s">
        <v>243</v>
      </c>
      <c r="C263" s="377"/>
      <c r="D263" s="369" t="s">
        <v>244</v>
      </c>
      <c r="E263" s="370"/>
      <c r="F263" s="370"/>
      <c r="G263" s="370"/>
      <c r="H263" s="370">
        <v>2590.39</v>
      </c>
      <c r="I263" s="301"/>
      <c r="J263" s="300"/>
      <c r="K263" s="300"/>
    </row>
    <row r="264" spans="1:11" ht="15">
      <c r="A264" s="378"/>
      <c r="B264" s="269">
        <v>422</v>
      </c>
      <c r="C264" s="264"/>
      <c r="D264" s="264" t="s">
        <v>219</v>
      </c>
      <c r="E264" s="379">
        <f>SUM(E265:E267)</f>
        <v>0</v>
      </c>
      <c r="F264" s="379">
        <f>SUM(F265:F267)</f>
        <v>0</v>
      </c>
      <c r="G264" s="379">
        <f>SUM(G267)</f>
        <v>56.71</v>
      </c>
      <c r="H264" s="379">
        <f>SUM(H265:H268)</f>
        <v>2252.46</v>
      </c>
      <c r="I264" s="302"/>
      <c r="J264" s="300">
        <f aca="true" t="shared" si="26" ref="J264:J269">SUM(H264/G264*100)</f>
        <v>3971.892082525128</v>
      </c>
      <c r="K264" s="300" t="e">
        <f aca="true" t="shared" si="27" ref="K264:K269">SUM(H264/E264*100)</f>
        <v>#DIV/0!</v>
      </c>
    </row>
    <row r="265" spans="1:11" ht="15">
      <c r="A265" s="380"/>
      <c r="B265" s="271" t="s">
        <v>220</v>
      </c>
      <c r="C265" s="89"/>
      <c r="D265" s="89" t="s">
        <v>221</v>
      </c>
      <c r="E265" s="381"/>
      <c r="F265" s="381"/>
      <c r="G265" s="381"/>
      <c r="H265" s="381"/>
      <c r="I265" s="302"/>
      <c r="J265" s="300" t="e">
        <f t="shared" si="26"/>
        <v>#DIV/0!</v>
      </c>
      <c r="K265" s="300" t="e">
        <f t="shared" si="27"/>
        <v>#DIV/0!</v>
      </c>
    </row>
    <row r="266" spans="1:11" ht="15">
      <c r="A266" s="380"/>
      <c r="B266" s="271" t="s">
        <v>263</v>
      </c>
      <c r="C266" s="89"/>
      <c r="D266" s="89" t="s">
        <v>224</v>
      </c>
      <c r="E266" s="381"/>
      <c r="F266" s="381"/>
      <c r="G266" s="381"/>
      <c r="H266" s="381">
        <v>1996.46</v>
      </c>
      <c r="I266" s="302"/>
      <c r="J266" s="300" t="e">
        <f t="shared" si="26"/>
        <v>#DIV/0!</v>
      </c>
      <c r="K266" s="300" t="e">
        <f t="shared" si="27"/>
        <v>#DIV/0!</v>
      </c>
    </row>
    <row r="267" spans="1:11" ht="15">
      <c r="A267" s="378"/>
      <c r="B267" s="271" t="s">
        <v>264</v>
      </c>
      <c r="C267" s="89"/>
      <c r="D267" s="89" t="s">
        <v>225</v>
      </c>
      <c r="E267" s="381"/>
      <c r="F267" s="381"/>
      <c r="G267" s="381">
        <v>56.71</v>
      </c>
      <c r="H267" s="381"/>
      <c r="I267" s="430"/>
      <c r="J267" s="300">
        <f t="shared" si="26"/>
        <v>0</v>
      </c>
      <c r="K267" s="300" t="e">
        <f t="shared" si="27"/>
        <v>#DIV/0!</v>
      </c>
    </row>
    <row r="268" spans="1:11" ht="15">
      <c r="A268" s="378"/>
      <c r="B268" s="271" t="s">
        <v>265</v>
      </c>
      <c r="C268" s="89"/>
      <c r="D268" s="89" t="s">
        <v>226</v>
      </c>
      <c r="E268" s="381"/>
      <c r="F268" s="381"/>
      <c r="G268" s="381"/>
      <c r="H268" s="381">
        <v>256</v>
      </c>
      <c r="I268" s="430"/>
      <c r="J268" s="300" t="e">
        <f t="shared" si="26"/>
        <v>#DIV/0!</v>
      </c>
      <c r="K268" s="300" t="e">
        <f t="shared" si="27"/>
        <v>#DIV/0!</v>
      </c>
    </row>
    <row r="269" spans="1:11" ht="15">
      <c r="A269" s="382"/>
      <c r="B269" s="383"/>
      <c r="C269" s="344" t="s">
        <v>102</v>
      </c>
      <c r="D269" s="345" t="s">
        <v>103</v>
      </c>
      <c r="E269" s="384">
        <f>E260+E251</f>
        <v>0</v>
      </c>
      <c r="F269" s="384">
        <f>F260+F251</f>
        <v>0</v>
      </c>
      <c r="G269" s="384">
        <f>G260+G251</f>
        <v>1310</v>
      </c>
      <c r="H269" s="384">
        <f>H260+H251</f>
        <v>6310</v>
      </c>
      <c r="I269" s="360" t="e">
        <f>SUM(H269/E269*100)</f>
        <v>#DIV/0!</v>
      </c>
      <c r="J269" s="300">
        <f t="shared" si="26"/>
        <v>481.6793893129771</v>
      </c>
      <c r="K269" s="300" t="e">
        <f t="shared" si="27"/>
        <v>#DIV/0!</v>
      </c>
    </row>
    <row r="270" spans="1:11" ht="15">
      <c r="A270" s="260" t="s">
        <v>121</v>
      </c>
      <c r="B270" s="260"/>
      <c r="C270" s="261"/>
      <c r="D270" s="262" t="s">
        <v>122</v>
      </c>
      <c r="E270" s="385">
        <f>SUM(E273,E271,E275)</f>
        <v>0</v>
      </c>
      <c r="F270" s="385">
        <f>SUM(F273,F271,F275)</f>
        <v>0</v>
      </c>
      <c r="G270" s="385">
        <f>SUM(G273,G271)</f>
        <v>8000</v>
      </c>
      <c r="H270" s="385">
        <f>SUM(H273,H271)</f>
        <v>16167.98</v>
      </c>
      <c r="I270" s="360"/>
      <c r="J270" s="300"/>
      <c r="K270" s="300"/>
    </row>
    <row r="271" spans="1:11" ht="15">
      <c r="A271" s="386"/>
      <c r="B271" s="387" t="s">
        <v>147</v>
      </c>
      <c r="C271" s="388"/>
      <c r="D271" s="389" t="s">
        <v>148</v>
      </c>
      <c r="E271" s="390">
        <f>E272</f>
        <v>0</v>
      </c>
      <c r="F271" s="390">
        <f>F272</f>
        <v>0</v>
      </c>
      <c r="G271" s="390">
        <f>G272</f>
        <v>0</v>
      </c>
      <c r="H271" s="390">
        <f>H272</f>
        <v>0</v>
      </c>
      <c r="I271" s="360"/>
      <c r="J271" s="300"/>
      <c r="K271" s="300"/>
    </row>
    <row r="272" spans="1:11" ht="15">
      <c r="A272" s="391"/>
      <c r="B272" s="392" t="s">
        <v>151</v>
      </c>
      <c r="C272" s="393"/>
      <c r="D272" s="394" t="s">
        <v>152</v>
      </c>
      <c r="E272" s="395"/>
      <c r="F272" s="395"/>
      <c r="G272" s="395"/>
      <c r="H272" s="395"/>
      <c r="I272" s="360"/>
      <c r="J272" s="300"/>
      <c r="K272" s="300"/>
    </row>
    <row r="273" spans="1:11" ht="15">
      <c r="A273" s="382"/>
      <c r="B273" s="396" t="s">
        <v>161</v>
      </c>
      <c r="C273" s="397"/>
      <c r="D273" s="398" t="s">
        <v>162</v>
      </c>
      <c r="E273" s="390">
        <f>SUM(E274)</f>
        <v>0</v>
      </c>
      <c r="F273" s="390">
        <f>SUM(F274)</f>
        <v>0</v>
      </c>
      <c r="G273" s="390">
        <f>SUM(G274)</f>
        <v>8000</v>
      </c>
      <c r="H273" s="390">
        <f>SUM(H274)</f>
        <v>16167.98</v>
      </c>
      <c r="I273" s="360"/>
      <c r="J273" s="300"/>
      <c r="K273" s="300"/>
    </row>
    <row r="274" spans="1:11" ht="15">
      <c r="A274" s="382"/>
      <c r="B274" s="399" t="s">
        <v>165</v>
      </c>
      <c r="C274" s="400"/>
      <c r="D274" s="401" t="s">
        <v>166</v>
      </c>
      <c r="E274" s="395"/>
      <c r="F274" s="395"/>
      <c r="G274" s="395">
        <v>8000</v>
      </c>
      <c r="H274" s="395">
        <v>16167.98</v>
      </c>
      <c r="I274" s="360"/>
      <c r="J274" s="300"/>
      <c r="K274" s="300"/>
    </row>
    <row r="275" spans="1:11" ht="15">
      <c r="A275" s="382"/>
      <c r="B275" s="396" t="s">
        <v>254</v>
      </c>
      <c r="C275" s="400"/>
      <c r="D275" s="398" t="s">
        <v>255</v>
      </c>
      <c r="E275" s="390">
        <f>E276</f>
        <v>0</v>
      </c>
      <c r="F275" s="390">
        <f>F276</f>
        <v>0</v>
      </c>
      <c r="G275" s="390">
        <f>G276</f>
        <v>0</v>
      </c>
      <c r="H275" s="390">
        <f>H276</f>
        <v>0</v>
      </c>
      <c r="I275" s="360"/>
      <c r="J275" s="300"/>
      <c r="K275" s="300"/>
    </row>
    <row r="276" spans="1:11" ht="15">
      <c r="A276" s="382"/>
      <c r="B276" s="399" t="s">
        <v>266</v>
      </c>
      <c r="C276" s="400"/>
      <c r="D276" s="401" t="s">
        <v>182</v>
      </c>
      <c r="E276" s="395"/>
      <c r="F276" s="395"/>
      <c r="G276" s="395"/>
      <c r="H276" s="395"/>
      <c r="I276" s="360"/>
      <c r="J276" s="300"/>
      <c r="K276" s="300"/>
    </row>
    <row r="277" spans="1:11" ht="15">
      <c r="A277" s="402">
        <v>4</v>
      </c>
      <c r="B277" s="403"/>
      <c r="C277" s="403"/>
      <c r="D277" s="404" t="s">
        <v>209</v>
      </c>
      <c r="E277" s="405">
        <f>E278</f>
        <v>3769.67</v>
      </c>
      <c r="F277" s="405">
        <f>F278</f>
        <v>0</v>
      </c>
      <c r="G277" s="405">
        <f>G278</f>
        <v>0</v>
      </c>
      <c r="H277" s="405">
        <f>H278</f>
        <v>0</v>
      </c>
      <c r="I277" s="360"/>
      <c r="J277" s="300"/>
      <c r="K277" s="300"/>
    </row>
    <row r="278" spans="1:11" ht="15">
      <c r="A278" s="264"/>
      <c r="B278" s="265">
        <v>42</v>
      </c>
      <c r="C278" s="266"/>
      <c r="D278" s="267" t="s">
        <v>218</v>
      </c>
      <c r="E278" s="268">
        <f>SUM(E281,E279)</f>
        <v>3769.67</v>
      </c>
      <c r="F278" s="268">
        <f>SUM(F281,F279)</f>
        <v>0</v>
      </c>
      <c r="G278" s="268">
        <f>SUM(G281)</f>
        <v>0</v>
      </c>
      <c r="H278" s="268">
        <f>SUM(H281,H284)</f>
        <v>0</v>
      </c>
      <c r="I278" s="360"/>
      <c r="J278" s="300"/>
      <c r="K278" s="300"/>
    </row>
    <row r="279" spans="1:11" ht="15">
      <c r="A279" s="311"/>
      <c r="B279" s="310" t="s">
        <v>241</v>
      </c>
      <c r="C279" s="311"/>
      <c r="D279" s="312" t="s">
        <v>242</v>
      </c>
      <c r="E279" s="313">
        <f>E280</f>
        <v>0</v>
      </c>
      <c r="F279" s="313">
        <f>F280</f>
        <v>0</v>
      </c>
      <c r="G279" s="313">
        <f>G280</f>
        <v>0</v>
      </c>
      <c r="H279" s="313">
        <f>H280</f>
        <v>0</v>
      </c>
      <c r="I279" s="360"/>
      <c r="J279" s="300"/>
      <c r="K279" s="300"/>
    </row>
    <row r="280" spans="1:11" ht="15">
      <c r="A280" s="315"/>
      <c r="B280" s="314" t="s">
        <v>243</v>
      </c>
      <c r="C280" s="315"/>
      <c r="D280" s="316" t="s">
        <v>244</v>
      </c>
      <c r="E280" s="317"/>
      <c r="F280" s="317"/>
      <c r="G280" s="317"/>
      <c r="H280" s="317"/>
      <c r="I280" s="360"/>
      <c r="J280" s="300"/>
      <c r="K280" s="300"/>
    </row>
    <row r="281" spans="1:11" ht="15">
      <c r="A281" s="376"/>
      <c r="B281" s="269">
        <v>422</v>
      </c>
      <c r="C281" s="264"/>
      <c r="D281" s="264" t="s">
        <v>219</v>
      </c>
      <c r="E281" s="379">
        <f>E282+E283</f>
        <v>3769.67</v>
      </c>
      <c r="F281" s="379">
        <f>SUM(F282)</f>
        <v>0</v>
      </c>
      <c r="G281" s="379">
        <f>SUM(G282)</f>
        <v>0</v>
      </c>
      <c r="H281" s="379">
        <f>SUM(H282)</f>
        <v>0</v>
      </c>
      <c r="I281" s="360"/>
      <c r="J281" s="300"/>
      <c r="K281" s="300"/>
    </row>
    <row r="282" spans="1:11" ht="15">
      <c r="A282" s="377"/>
      <c r="B282" s="271" t="s">
        <v>264</v>
      </c>
      <c r="C282" s="89"/>
      <c r="D282" s="89" t="s">
        <v>225</v>
      </c>
      <c r="E282" s="381"/>
      <c r="F282" s="381"/>
      <c r="G282" s="381">
        <v>0</v>
      </c>
      <c r="H282" s="381"/>
      <c r="I282" s="360"/>
      <c r="J282" s="300"/>
      <c r="K282" s="300"/>
    </row>
    <row r="283" spans="1:11" ht="15">
      <c r="A283" s="406"/>
      <c r="B283" s="407" t="s">
        <v>342</v>
      </c>
      <c r="C283" s="408"/>
      <c r="D283" s="408" t="s">
        <v>349</v>
      </c>
      <c r="E283" s="409">
        <v>3769.67</v>
      </c>
      <c r="F283" s="409"/>
      <c r="G283" s="409"/>
      <c r="H283" s="409"/>
      <c r="I283" s="360"/>
      <c r="J283" s="300"/>
      <c r="K283" s="300"/>
    </row>
    <row r="284" spans="1:11" ht="15">
      <c r="A284" s="410"/>
      <c r="B284" s="411" t="s">
        <v>267</v>
      </c>
      <c r="C284" s="412"/>
      <c r="D284" s="412" t="s">
        <v>229</v>
      </c>
      <c r="E284" s="413">
        <f>E285</f>
        <v>0</v>
      </c>
      <c r="F284" s="413">
        <f>F285</f>
        <v>0</v>
      </c>
      <c r="G284" s="413">
        <f>G285</f>
        <v>0</v>
      </c>
      <c r="H284" s="413">
        <f>H285</f>
        <v>0</v>
      </c>
      <c r="I284" s="360"/>
      <c r="J284" s="300"/>
      <c r="K284" s="300"/>
    </row>
    <row r="285" spans="1:11" ht="15">
      <c r="A285" s="377"/>
      <c r="B285" s="271" t="s">
        <v>268</v>
      </c>
      <c r="C285" s="89"/>
      <c r="D285" s="89" t="s">
        <v>230</v>
      </c>
      <c r="E285" s="409"/>
      <c r="F285" s="409"/>
      <c r="G285" s="409"/>
      <c r="H285" s="409"/>
      <c r="I285" s="360"/>
      <c r="J285" s="300"/>
      <c r="K285" s="300"/>
    </row>
    <row r="286" spans="1:11" ht="30">
      <c r="A286" s="377"/>
      <c r="B286" s="271"/>
      <c r="C286" s="344" t="s">
        <v>269</v>
      </c>
      <c r="D286" s="414" t="s">
        <v>270</v>
      </c>
      <c r="E286" s="415">
        <f>SUM(E278,E270)</f>
        <v>3769.67</v>
      </c>
      <c r="F286" s="415">
        <f>SUM(F278,F270)</f>
        <v>0</v>
      </c>
      <c r="G286" s="416">
        <f>G270+G277</f>
        <v>8000</v>
      </c>
      <c r="H286" s="416">
        <f>SUM(H278,H270)</f>
        <v>16167.98</v>
      </c>
      <c r="I286" s="360"/>
      <c r="J286" s="300"/>
      <c r="K286" s="300"/>
    </row>
    <row r="287" spans="1:11" ht="15">
      <c r="A287" s="260" t="s">
        <v>121</v>
      </c>
      <c r="B287" s="260"/>
      <c r="C287" s="261"/>
      <c r="D287" s="262" t="s">
        <v>122</v>
      </c>
      <c r="E287" s="385">
        <f>E288+E293</f>
        <v>307246.78</v>
      </c>
      <c r="F287" s="385">
        <f>F288+F293</f>
        <v>913644.9600000001</v>
      </c>
      <c r="G287" s="385">
        <f>SUM(G298,G294)</f>
        <v>535544.42</v>
      </c>
      <c r="H287" s="385">
        <f>SUM(H298,H294)</f>
        <v>518272.67000000004</v>
      </c>
      <c r="I287" s="299">
        <f>SUM(H287/E287*100)</f>
        <v>168.6828646340899</v>
      </c>
      <c r="J287" s="300">
        <f>SUM(H287/G287*100)</f>
        <v>96.77491738220333</v>
      </c>
      <c r="K287" s="300">
        <f>SUM(H287/E287*100)</f>
        <v>168.6828646340899</v>
      </c>
    </row>
    <row r="288" spans="1:11" ht="15">
      <c r="A288" s="417"/>
      <c r="B288" s="265">
        <v>31</v>
      </c>
      <c r="C288" s="266"/>
      <c r="D288" s="267" t="s">
        <v>123</v>
      </c>
      <c r="E288" s="268">
        <f>E289+E291</f>
        <v>68863.31999999999</v>
      </c>
      <c r="F288" s="268">
        <f>F289</f>
        <v>265445.62</v>
      </c>
      <c r="G288" s="268">
        <f>G289+G295+G298</f>
        <v>535544.42</v>
      </c>
      <c r="H288" s="268">
        <f>H289+H295+H298</f>
        <v>518272.67000000004</v>
      </c>
      <c r="I288" s="299"/>
      <c r="J288" s="300"/>
      <c r="K288" s="300"/>
    </row>
    <row r="289" spans="1:11" ht="15">
      <c r="A289" s="417"/>
      <c r="B289" s="269">
        <v>311</v>
      </c>
      <c r="C289" s="89"/>
      <c r="D289" s="264" t="s">
        <v>124</v>
      </c>
      <c r="E289" s="270">
        <f>E290</f>
        <v>66361.4</v>
      </c>
      <c r="F289" s="270">
        <f>F292</f>
        <v>265445.62</v>
      </c>
      <c r="G289" s="270">
        <f>SUM(G292:G292)</f>
        <v>0</v>
      </c>
      <c r="H289" s="270">
        <f>H290</f>
        <v>0</v>
      </c>
      <c r="I289" s="299"/>
      <c r="J289" s="300"/>
      <c r="K289" s="300"/>
    </row>
    <row r="290" spans="1:11" ht="15">
      <c r="A290" s="417"/>
      <c r="B290" s="271">
        <v>3111</v>
      </c>
      <c r="C290" s="89"/>
      <c r="D290" s="89" t="s">
        <v>125</v>
      </c>
      <c r="E290" s="272">
        <v>66361.4</v>
      </c>
      <c r="F290" s="272">
        <v>265445.62</v>
      </c>
      <c r="G290" s="272"/>
      <c r="H290" s="272"/>
      <c r="I290" s="299"/>
      <c r="J290" s="300"/>
      <c r="K290" s="300"/>
    </row>
    <row r="291" spans="1:11" ht="15">
      <c r="A291" s="417"/>
      <c r="B291" s="269" t="s">
        <v>247</v>
      </c>
      <c r="C291" s="89"/>
      <c r="D291" s="264" t="s">
        <v>135</v>
      </c>
      <c r="E291" s="270">
        <f>E292</f>
        <v>2501.92</v>
      </c>
      <c r="F291" s="270"/>
      <c r="G291" s="270"/>
      <c r="H291" s="270">
        <f>H292</f>
        <v>0</v>
      </c>
      <c r="I291" s="299"/>
      <c r="J291" s="300"/>
      <c r="K291" s="300"/>
    </row>
    <row r="292" spans="1:11" ht="15">
      <c r="A292" s="417"/>
      <c r="B292" s="271" t="s">
        <v>338</v>
      </c>
      <c r="C292" s="89"/>
      <c r="D292" s="89" t="s">
        <v>339</v>
      </c>
      <c r="E292" s="272">
        <v>2501.92</v>
      </c>
      <c r="F292" s="272">
        <v>265445.62</v>
      </c>
      <c r="G292" s="272"/>
      <c r="H292" s="272"/>
      <c r="I292" s="299"/>
      <c r="J292" s="300"/>
      <c r="K292" s="300"/>
    </row>
    <row r="293" spans="1:11" ht="15">
      <c r="A293" s="417"/>
      <c r="B293" s="265">
        <v>32</v>
      </c>
      <c r="C293" s="266"/>
      <c r="D293" s="267" t="s">
        <v>137</v>
      </c>
      <c r="E293" s="287">
        <f>E294+E298+E302</f>
        <v>238383.46000000002</v>
      </c>
      <c r="F293" s="287">
        <f>F294+F298+F302</f>
        <v>648199.3400000001</v>
      </c>
      <c r="G293" s="287">
        <f>G294+G298+G302</f>
        <v>535544.42</v>
      </c>
      <c r="H293" s="287">
        <f>H294+H298</f>
        <v>518272.67000000004</v>
      </c>
      <c r="I293" s="299"/>
      <c r="J293" s="300"/>
      <c r="K293" s="300"/>
    </row>
    <row r="294" spans="1:11" s="246" customFormat="1" ht="15">
      <c r="A294" s="386"/>
      <c r="B294" s="387" t="s">
        <v>147</v>
      </c>
      <c r="C294" s="388"/>
      <c r="D294" s="389" t="s">
        <v>148</v>
      </c>
      <c r="E294" s="390">
        <f>E295+E296+E297</f>
        <v>192094.95</v>
      </c>
      <c r="F294" s="390">
        <f>F295+F296</f>
        <v>561929.52</v>
      </c>
      <c r="G294" s="390">
        <f>G295</f>
        <v>456687.78</v>
      </c>
      <c r="H294" s="390">
        <f>H295+H296</f>
        <v>439416.03</v>
      </c>
      <c r="I294" s="431"/>
      <c r="J294" s="300">
        <f>SUM(H294/G294*100)</f>
        <v>96.21803981704963</v>
      </c>
      <c r="K294" s="300">
        <f>SUM(H294/E294*100)</f>
        <v>228.74939190228582</v>
      </c>
    </row>
    <row r="295" spans="1:11" ht="15">
      <c r="A295" s="391"/>
      <c r="B295" s="392" t="s">
        <v>151</v>
      </c>
      <c r="C295" s="393"/>
      <c r="D295" s="394" t="s">
        <v>152</v>
      </c>
      <c r="E295" s="395">
        <v>124406.32</v>
      </c>
      <c r="F295" s="395">
        <v>535384.96</v>
      </c>
      <c r="G295" s="395">
        <v>456687.78</v>
      </c>
      <c r="H295" s="395">
        <v>439416.03</v>
      </c>
      <c r="I295" s="432"/>
      <c r="J295" s="300">
        <f>SUM(H295/G295*100)</f>
        <v>96.21803981704963</v>
      </c>
      <c r="K295" s="300">
        <f>SUM(H295/E295*100)</f>
        <v>353.210375485747</v>
      </c>
    </row>
    <row r="296" spans="1:11" ht="15">
      <c r="A296" s="391"/>
      <c r="B296" s="392" t="s">
        <v>153</v>
      </c>
      <c r="C296" s="393"/>
      <c r="D296" s="394" t="s">
        <v>154</v>
      </c>
      <c r="E296" s="395">
        <v>66361.4</v>
      </c>
      <c r="F296" s="395">
        <v>26544.56</v>
      </c>
      <c r="G296" s="395"/>
      <c r="H296" s="395"/>
      <c r="I296" s="432"/>
      <c r="J296" s="300" t="e">
        <f>SUM(H296/G296*100)</f>
        <v>#DIV/0!</v>
      </c>
      <c r="K296" s="300">
        <f>SUM(H296/E296*100)</f>
        <v>0</v>
      </c>
    </row>
    <row r="297" spans="1:11" ht="15">
      <c r="A297" s="391"/>
      <c r="B297" s="392" t="s">
        <v>155</v>
      </c>
      <c r="C297" s="393"/>
      <c r="D297" s="394" t="s">
        <v>350</v>
      </c>
      <c r="E297" s="395">
        <v>1327.23</v>
      </c>
      <c r="F297" s="395"/>
      <c r="G297" s="395"/>
      <c r="H297" s="395"/>
      <c r="I297" s="432"/>
      <c r="J297" s="300"/>
      <c r="K297" s="300"/>
    </row>
    <row r="298" spans="1:11" ht="15">
      <c r="A298" s="382"/>
      <c r="B298" s="396" t="s">
        <v>161</v>
      </c>
      <c r="C298" s="397"/>
      <c r="D298" s="398" t="s">
        <v>162</v>
      </c>
      <c r="E298" s="390">
        <f>E299+E300+E301</f>
        <v>6636.14</v>
      </c>
      <c r="F298" s="390">
        <f>F299+F301</f>
        <v>66361.4</v>
      </c>
      <c r="G298" s="390">
        <f>G299+G301</f>
        <v>78856.64</v>
      </c>
      <c r="H298" s="390">
        <f>H299+H300+H301</f>
        <v>78856.64</v>
      </c>
      <c r="I298" s="433"/>
      <c r="J298" s="300">
        <f>SUM(H298/G298*100)</f>
        <v>100</v>
      </c>
      <c r="K298" s="300">
        <f>SUM(H298/E298*100)</f>
        <v>1188.2907834976356</v>
      </c>
    </row>
    <row r="299" spans="1:11" ht="15">
      <c r="A299" s="382"/>
      <c r="B299" s="399" t="s">
        <v>165</v>
      </c>
      <c r="C299" s="400"/>
      <c r="D299" s="401" t="s">
        <v>166</v>
      </c>
      <c r="E299" s="395"/>
      <c r="F299" s="395">
        <v>26544.56</v>
      </c>
      <c r="G299" s="395">
        <v>38856.64</v>
      </c>
      <c r="H299" s="395">
        <v>38856.64</v>
      </c>
      <c r="I299" s="431"/>
      <c r="J299" s="300">
        <f>SUM(H299/G299*100)</f>
        <v>100</v>
      </c>
      <c r="K299" s="300" t="e">
        <f>SUM(H299/E299*100)</f>
        <v>#DIV/0!</v>
      </c>
    </row>
    <row r="300" spans="1:11" ht="15">
      <c r="A300" s="382"/>
      <c r="B300" s="399" t="s">
        <v>169</v>
      </c>
      <c r="C300" s="400"/>
      <c r="D300" s="401" t="s">
        <v>170</v>
      </c>
      <c r="E300" s="395">
        <v>6636.14</v>
      </c>
      <c r="F300" s="395"/>
      <c r="G300" s="395"/>
      <c r="H300" s="395"/>
      <c r="I300" s="431"/>
      <c r="J300" s="300"/>
      <c r="K300" s="300"/>
    </row>
    <row r="301" spans="1:11" ht="15">
      <c r="A301" s="382"/>
      <c r="B301" s="399" t="s">
        <v>253</v>
      </c>
      <c r="C301" s="400"/>
      <c r="D301" s="401" t="s">
        <v>173</v>
      </c>
      <c r="E301" s="395"/>
      <c r="F301" s="395">
        <v>39816.84</v>
      </c>
      <c r="G301" s="395">
        <v>40000</v>
      </c>
      <c r="H301" s="395">
        <v>40000</v>
      </c>
      <c r="I301" s="431"/>
      <c r="J301" s="300"/>
      <c r="K301" s="300"/>
    </row>
    <row r="302" spans="1:11" s="246" customFormat="1" ht="15">
      <c r="A302" s="382"/>
      <c r="B302" s="396" t="s">
        <v>254</v>
      </c>
      <c r="C302" s="400"/>
      <c r="D302" s="398" t="s">
        <v>255</v>
      </c>
      <c r="E302" s="390">
        <f>E303+E304+E305</f>
        <v>39652.37</v>
      </c>
      <c r="F302" s="390">
        <f>F305</f>
        <v>19908.42</v>
      </c>
      <c r="G302" s="390">
        <f>G305</f>
        <v>0</v>
      </c>
      <c r="H302" s="390">
        <f>H305</f>
        <v>0</v>
      </c>
      <c r="I302" s="431"/>
      <c r="J302" s="300" t="e">
        <f>SUM(H302/G302*100)</f>
        <v>#DIV/0!</v>
      </c>
      <c r="K302" s="300">
        <f>SUM(H302/E302*100)</f>
        <v>0</v>
      </c>
    </row>
    <row r="303" spans="1:11" s="246" customFormat="1" ht="15">
      <c r="A303" s="382"/>
      <c r="B303" s="399" t="s">
        <v>266</v>
      </c>
      <c r="C303" s="400"/>
      <c r="D303" s="401" t="s">
        <v>182</v>
      </c>
      <c r="E303" s="395"/>
      <c r="F303" s="395">
        <v>19908.42</v>
      </c>
      <c r="G303" s="395"/>
      <c r="H303" s="395"/>
      <c r="I303" s="431"/>
      <c r="J303" s="300"/>
      <c r="K303" s="300"/>
    </row>
    <row r="304" spans="1:11" s="246" customFormat="1" ht="15">
      <c r="A304" s="382"/>
      <c r="B304" s="399" t="s">
        <v>351</v>
      </c>
      <c r="C304" s="418"/>
      <c r="D304" s="401" t="s">
        <v>186</v>
      </c>
      <c r="E304" s="395">
        <v>38325.14</v>
      </c>
      <c r="F304" s="395"/>
      <c r="G304" s="395"/>
      <c r="H304" s="395"/>
      <c r="I304" s="431"/>
      <c r="J304" s="300"/>
      <c r="K304" s="300"/>
    </row>
    <row r="305" spans="1:11" ht="15">
      <c r="A305" s="382"/>
      <c r="B305" s="399" t="s">
        <v>187</v>
      </c>
      <c r="C305" s="400"/>
      <c r="D305" s="401" t="s">
        <v>182</v>
      </c>
      <c r="E305" s="395">
        <v>1327.23</v>
      </c>
      <c r="F305" s="395">
        <v>19908.42</v>
      </c>
      <c r="G305" s="395"/>
      <c r="H305" s="395"/>
      <c r="I305" s="431"/>
      <c r="J305" s="300" t="e">
        <f aca="true" t="shared" si="28" ref="J305:J310">SUM(H305/G305*100)</f>
        <v>#DIV/0!</v>
      </c>
      <c r="K305" s="300">
        <f aca="true" t="shared" si="29" ref="K305:K310">SUM(H305/E305*100)</f>
        <v>0</v>
      </c>
    </row>
    <row r="306" spans="1:11" s="247" customFormat="1" ht="15">
      <c r="A306" s="402">
        <v>4</v>
      </c>
      <c r="B306" s="403"/>
      <c r="C306" s="403"/>
      <c r="D306" s="404" t="s">
        <v>209</v>
      </c>
      <c r="E306" s="405">
        <f>E307</f>
        <v>116784.07</v>
      </c>
      <c r="F306" s="405">
        <f>F307</f>
        <v>22562.88</v>
      </c>
      <c r="G306" s="405">
        <f>G307</f>
        <v>0</v>
      </c>
      <c r="H306" s="405">
        <f>H307</f>
        <v>0</v>
      </c>
      <c r="I306" s="434">
        <f>SUM(H306/E306*100)</f>
        <v>0</v>
      </c>
      <c r="J306" s="300" t="e">
        <f t="shared" si="28"/>
        <v>#DIV/0!</v>
      </c>
      <c r="K306" s="300">
        <f t="shared" si="29"/>
        <v>0</v>
      </c>
    </row>
    <row r="307" spans="1:11" ht="15">
      <c r="A307" s="264"/>
      <c r="B307" s="265">
        <v>42</v>
      </c>
      <c r="C307" s="266"/>
      <c r="D307" s="267" t="s">
        <v>218</v>
      </c>
      <c r="E307" s="268">
        <f>SUM(E310,E308)</f>
        <v>116784.07</v>
      </c>
      <c r="F307" s="268">
        <f>SUM(F310,F308)</f>
        <v>22562.88</v>
      </c>
      <c r="G307" s="268">
        <f>SUM(G310)</f>
        <v>0</v>
      </c>
      <c r="H307" s="268">
        <f>SUM(H310,H316)</f>
        <v>0</v>
      </c>
      <c r="I307" s="301">
        <f>SUM(H307/E307*100)</f>
        <v>0</v>
      </c>
      <c r="J307" s="300" t="e">
        <f t="shared" si="28"/>
        <v>#DIV/0!</v>
      </c>
      <c r="K307" s="300">
        <f t="shared" si="29"/>
        <v>0</v>
      </c>
    </row>
    <row r="308" spans="1:11" s="248" customFormat="1" ht="15">
      <c r="A308" s="311"/>
      <c r="B308" s="310" t="s">
        <v>241</v>
      </c>
      <c r="C308" s="311"/>
      <c r="D308" s="312" t="s">
        <v>242</v>
      </c>
      <c r="E308" s="313">
        <f>E309</f>
        <v>12171.7</v>
      </c>
      <c r="F308" s="313">
        <f>F309</f>
        <v>0</v>
      </c>
      <c r="G308" s="313">
        <f>G309</f>
        <v>0</v>
      </c>
      <c r="H308" s="313">
        <f>H309</f>
        <v>0</v>
      </c>
      <c r="I308" s="300"/>
      <c r="J308" s="300" t="e">
        <f t="shared" si="28"/>
        <v>#DIV/0!</v>
      </c>
      <c r="K308" s="300">
        <f t="shared" si="29"/>
        <v>0</v>
      </c>
    </row>
    <row r="309" spans="1:11" s="248" customFormat="1" ht="15">
      <c r="A309" s="315"/>
      <c r="B309" s="314" t="s">
        <v>243</v>
      </c>
      <c r="C309" s="315"/>
      <c r="D309" s="316" t="s">
        <v>244</v>
      </c>
      <c r="E309" s="317">
        <v>12171.7</v>
      </c>
      <c r="F309" s="317"/>
      <c r="G309" s="317"/>
      <c r="H309" s="317"/>
      <c r="I309" s="333"/>
      <c r="J309" s="300" t="e">
        <f t="shared" si="28"/>
        <v>#DIV/0!</v>
      </c>
      <c r="K309" s="300">
        <f t="shared" si="29"/>
        <v>0</v>
      </c>
    </row>
    <row r="310" spans="1:11" ht="15">
      <c r="A310" s="376"/>
      <c r="B310" s="269">
        <v>422</v>
      </c>
      <c r="C310" s="264"/>
      <c r="D310" s="264" t="s">
        <v>219</v>
      </c>
      <c r="E310" s="379">
        <f>E311+E312+E313+E314+E315</f>
        <v>104612.37000000001</v>
      </c>
      <c r="F310" s="379">
        <f>SUM(F314)</f>
        <v>22562.88</v>
      </c>
      <c r="G310" s="379">
        <f>SUM(G314)</f>
        <v>0</v>
      </c>
      <c r="H310" s="379">
        <f>SUM(H314)</f>
        <v>0</v>
      </c>
      <c r="I310" s="302"/>
      <c r="J310" s="300" t="e">
        <f t="shared" si="28"/>
        <v>#DIV/0!</v>
      </c>
      <c r="K310" s="300">
        <f t="shared" si="29"/>
        <v>0</v>
      </c>
    </row>
    <row r="311" spans="1:11" ht="15">
      <c r="A311" s="376"/>
      <c r="B311" s="271" t="s">
        <v>220</v>
      </c>
      <c r="C311" s="89"/>
      <c r="D311" s="89" t="s">
        <v>221</v>
      </c>
      <c r="E311" s="381">
        <v>42012.98</v>
      </c>
      <c r="F311" s="381"/>
      <c r="G311" s="381"/>
      <c r="H311" s="381"/>
      <c r="I311" s="302"/>
      <c r="J311" s="300"/>
      <c r="K311" s="300"/>
    </row>
    <row r="312" spans="1:11" ht="15">
      <c r="A312" s="376"/>
      <c r="B312" s="271" t="s">
        <v>222</v>
      </c>
      <c r="C312" s="89"/>
      <c r="D312" s="89" t="s">
        <v>223</v>
      </c>
      <c r="E312" s="381">
        <v>938.35</v>
      </c>
      <c r="F312" s="381"/>
      <c r="G312" s="381"/>
      <c r="H312" s="381"/>
      <c r="I312" s="302"/>
      <c r="J312" s="300"/>
      <c r="K312" s="300"/>
    </row>
    <row r="313" spans="1:11" ht="15">
      <c r="A313" s="376"/>
      <c r="B313" s="271" t="s">
        <v>263</v>
      </c>
      <c r="C313" s="89"/>
      <c r="D313" s="89" t="s">
        <v>334</v>
      </c>
      <c r="E313" s="381">
        <v>4300.35</v>
      </c>
      <c r="F313" s="381"/>
      <c r="G313" s="381"/>
      <c r="H313" s="381"/>
      <c r="I313" s="302"/>
      <c r="J313" s="300"/>
      <c r="K313" s="300"/>
    </row>
    <row r="314" spans="1:11" ht="15">
      <c r="A314" s="377"/>
      <c r="B314" s="271" t="s">
        <v>264</v>
      </c>
      <c r="C314" s="89"/>
      <c r="D314" s="89" t="s">
        <v>225</v>
      </c>
      <c r="E314" s="381">
        <v>48446.45</v>
      </c>
      <c r="F314" s="381">
        <v>22562.88</v>
      </c>
      <c r="G314" s="381">
        <v>0</v>
      </c>
      <c r="H314" s="381"/>
      <c r="I314" s="430"/>
      <c r="J314" s="300" t="e">
        <f>SUM(H314/G314*100)</f>
        <v>#DIV/0!</v>
      </c>
      <c r="K314" s="300">
        <f>SUM(H314/E314*100)</f>
        <v>0</v>
      </c>
    </row>
    <row r="315" spans="1:11" ht="15">
      <c r="A315" s="406"/>
      <c r="B315" s="407" t="s">
        <v>342</v>
      </c>
      <c r="C315" s="408"/>
      <c r="D315" s="408" t="s">
        <v>227</v>
      </c>
      <c r="E315" s="409">
        <v>8914.24</v>
      </c>
      <c r="F315" s="409"/>
      <c r="G315" s="409"/>
      <c r="H315" s="409"/>
      <c r="I315" s="435"/>
      <c r="J315" s="300"/>
      <c r="K315" s="300"/>
    </row>
    <row r="316" spans="1:11" s="246" customFormat="1" ht="15">
      <c r="A316" s="410"/>
      <c r="B316" s="411" t="s">
        <v>267</v>
      </c>
      <c r="C316" s="412"/>
      <c r="D316" s="412" t="s">
        <v>229</v>
      </c>
      <c r="E316" s="413">
        <f>E317</f>
        <v>0</v>
      </c>
      <c r="F316" s="413">
        <f>F317</f>
        <v>0</v>
      </c>
      <c r="G316" s="413">
        <f>G317</f>
        <v>0</v>
      </c>
      <c r="H316" s="413">
        <f>H317</f>
        <v>0</v>
      </c>
      <c r="I316" s="435"/>
      <c r="J316" s="300" t="e">
        <f>SUM(H316/G316*100)</f>
        <v>#DIV/0!</v>
      </c>
      <c r="K316" s="300" t="e">
        <f>SUM(H316/E316*100)</f>
        <v>#DIV/0!</v>
      </c>
    </row>
    <row r="317" spans="1:11" ht="15">
      <c r="A317" s="406"/>
      <c r="B317" s="407" t="s">
        <v>268</v>
      </c>
      <c r="C317" s="408"/>
      <c r="D317" s="408" t="s">
        <v>230</v>
      </c>
      <c r="E317" s="409"/>
      <c r="F317" s="409"/>
      <c r="G317" s="409"/>
      <c r="H317" s="409"/>
      <c r="I317" s="435"/>
      <c r="J317" s="300" t="e">
        <f>SUM(H317/G317*100)</f>
        <v>#DIV/0!</v>
      </c>
      <c r="K317" s="300" t="e">
        <f>SUM(H317/E317*100)</f>
        <v>#DIV/0!</v>
      </c>
    </row>
    <row r="318" spans="1:11" ht="15">
      <c r="A318" s="419"/>
      <c r="B318" s="420"/>
      <c r="C318" s="421" t="s">
        <v>352</v>
      </c>
      <c r="D318" s="422" t="s">
        <v>353</v>
      </c>
      <c r="E318" s="415">
        <f>SUM(E307,E287)</f>
        <v>424030.85000000003</v>
      </c>
      <c r="F318" s="415">
        <f>F287+F306</f>
        <v>936207.8400000001</v>
      </c>
      <c r="G318" s="416">
        <f>G287+G306</f>
        <v>535544.42</v>
      </c>
      <c r="H318" s="416">
        <f>SUM(H307,H287)</f>
        <v>518272.67000000004</v>
      </c>
      <c r="I318" s="436">
        <f>SUM(H318/E318*100)</f>
        <v>122.22522724466864</v>
      </c>
      <c r="J318" s="300">
        <f>SUM(H318/G318*100)</f>
        <v>96.77491738220333</v>
      </c>
      <c r="K318" s="300">
        <f>SUM(H318/E318*100)</f>
        <v>122.22522724466864</v>
      </c>
    </row>
    <row r="319" spans="1:11" ht="1.5" customHeight="1">
      <c r="A319" s="423"/>
      <c r="B319" s="424"/>
      <c r="C319" s="425"/>
      <c r="D319" s="426"/>
      <c r="E319" s="427"/>
      <c r="F319" s="427"/>
      <c r="G319" s="428"/>
      <c r="H319" s="428"/>
      <c r="I319" s="437"/>
      <c r="J319" s="300"/>
      <c r="K319" s="300"/>
    </row>
    <row r="320" spans="1:11" ht="15.75">
      <c r="A320" s="717" t="s">
        <v>271</v>
      </c>
      <c r="B320" s="718"/>
      <c r="C320" s="718"/>
      <c r="D320" s="719"/>
      <c r="E320" s="429">
        <f>E98+E175+E213+E250+E286+E318</f>
        <v>9418195.37</v>
      </c>
      <c r="F320" s="429">
        <f>F98+F175+F213+F250+F269+F318</f>
        <v>9115800.65</v>
      </c>
      <c r="G320" s="429">
        <f>G98+G175+G213+G250+G269+G286+G318</f>
        <v>9982817.86</v>
      </c>
      <c r="H320" s="429">
        <f>H98+H175+H213+H250+H269+H286+H318</f>
        <v>10014093.5</v>
      </c>
      <c r="I320" s="438">
        <f>SUM(H320/F320*100)</f>
        <v>109.85423973702189</v>
      </c>
      <c r="J320" s="300">
        <f>SUM(H320/G320*100)</f>
        <v>100.31329470735231</v>
      </c>
      <c r="K320" s="300">
        <f>SUM(H320/E320*100)</f>
        <v>106.32709459285724</v>
      </c>
    </row>
    <row r="321" spans="4:8" ht="15">
      <c r="D321" s="307"/>
      <c r="E321" s="307"/>
      <c r="H321" s="439"/>
    </row>
    <row r="322" spans="7:8" ht="15">
      <c r="G322" s="440"/>
      <c r="H322" s="441"/>
    </row>
    <row r="324" spans="4:8" ht="15">
      <c r="D324" s="442"/>
      <c r="E324" s="442"/>
      <c r="F324" s="443"/>
      <c r="H324" s="444"/>
    </row>
    <row r="325" spans="4:7" ht="15">
      <c r="D325" s="442"/>
      <c r="E325" s="442"/>
      <c r="F325" s="443"/>
      <c r="G325" s="359"/>
    </row>
    <row r="326" spans="4:6" ht="15">
      <c r="D326" s="307"/>
      <c r="E326" s="307"/>
      <c r="F326" s="443"/>
    </row>
  </sheetData>
  <sheetProtection password="C400" sheet="1" objects="1" scenarios="1" selectLockedCells="1" selectUnlockedCells="1"/>
  <mergeCells count="6">
    <mergeCell ref="A1:J1"/>
    <mergeCell ref="A2:J2"/>
    <mergeCell ref="A3:J3"/>
    <mergeCell ref="A5:J5"/>
    <mergeCell ref="A7:D7"/>
    <mergeCell ref="A320:D3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K20" sqref="K20"/>
    </sheetView>
  </sheetViews>
  <sheetFormatPr defaultColWidth="9.140625" defaultRowHeight="15"/>
  <cols>
    <col min="1" max="1" width="30.00390625" style="187" customWidth="1"/>
    <col min="2" max="2" width="16.7109375" style="187" customWidth="1"/>
    <col min="3" max="4" width="15.7109375" style="187" customWidth="1"/>
    <col min="5" max="5" width="16.7109375" style="187" customWidth="1"/>
    <col min="6" max="6" width="8.8515625" style="187" customWidth="1"/>
    <col min="7" max="7" width="8.421875" style="187" customWidth="1"/>
    <col min="8" max="16384" width="9.140625" style="187" customWidth="1"/>
  </cols>
  <sheetData>
    <row r="1" spans="1:11" ht="15.75" customHeight="1">
      <c r="A1" s="721"/>
      <c r="B1" s="721"/>
      <c r="C1" s="721"/>
      <c r="D1" s="721"/>
      <c r="E1" s="721"/>
      <c r="F1" s="721"/>
      <c r="G1" s="721"/>
      <c r="H1" s="194"/>
      <c r="I1" s="194"/>
      <c r="J1" s="194"/>
      <c r="K1" s="194"/>
    </row>
    <row r="2" spans="1:7" ht="15.75">
      <c r="A2" s="720" t="s">
        <v>1</v>
      </c>
      <c r="B2" s="720"/>
      <c r="C2" s="720"/>
      <c r="D2" s="720"/>
      <c r="E2" s="720"/>
      <c r="F2" s="720"/>
      <c r="G2" s="720"/>
    </row>
    <row r="3" spans="1:7" ht="15.75">
      <c r="A3" s="195"/>
      <c r="B3" s="195"/>
      <c r="C3" s="195"/>
      <c r="D3" s="195"/>
      <c r="E3" s="195"/>
      <c r="F3" s="196"/>
      <c r="G3" s="196"/>
    </row>
    <row r="4" spans="1:7" ht="15.75">
      <c r="A4" s="720" t="s">
        <v>354</v>
      </c>
      <c r="B4" s="720"/>
      <c r="C4" s="720"/>
      <c r="D4" s="720"/>
      <c r="E4" s="749"/>
      <c r="F4" s="749"/>
      <c r="G4" s="749"/>
    </row>
    <row r="5" spans="1:7" ht="15.75">
      <c r="A5" s="195"/>
      <c r="B5" s="195"/>
      <c r="C5" s="195"/>
      <c r="D5" s="195"/>
      <c r="E5" s="195"/>
      <c r="F5" s="196"/>
      <c r="G5" s="196"/>
    </row>
    <row r="6" spans="1:7" ht="15.75">
      <c r="A6" s="720" t="s">
        <v>355</v>
      </c>
      <c r="B6" s="720"/>
      <c r="C6" s="720"/>
      <c r="D6" s="720"/>
      <c r="E6" s="750"/>
      <c r="F6" s="750"/>
      <c r="G6" s="750"/>
    </row>
    <row r="7" spans="1:7" ht="15.75">
      <c r="A7" s="195"/>
      <c r="B7" s="195"/>
      <c r="C7" s="195"/>
      <c r="D7" s="195"/>
      <c r="E7" s="195"/>
      <c r="F7" s="196"/>
      <c r="G7" s="196"/>
    </row>
    <row r="8" spans="1:7" s="188" customFormat="1" ht="47.25">
      <c r="A8" s="197" t="s">
        <v>4</v>
      </c>
      <c r="B8" s="198" t="s">
        <v>356</v>
      </c>
      <c r="C8" s="199" t="s">
        <v>38</v>
      </c>
      <c r="D8" s="134" t="s">
        <v>39</v>
      </c>
      <c r="E8" s="134" t="s">
        <v>357</v>
      </c>
      <c r="F8" s="200" t="s">
        <v>41</v>
      </c>
      <c r="G8" s="201" t="s">
        <v>41</v>
      </c>
    </row>
    <row r="9" spans="1:7" s="189" customFormat="1" ht="22.5">
      <c r="A9" s="202">
        <v>1</v>
      </c>
      <c r="B9" s="203">
        <v>2</v>
      </c>
      <c r="C9" s="204">
        <v>3</v>
      </c>
      <c r="D9" s="205">
        <v>4</v>
      </c>
      <c r="E9" s="205">
        <v>5</v>
      </c>
      <c r="F9" s="206" t="s">
        <v>11</v>
      </c>
      <c r="G9" s="207" t="s">
        <v>12</v>
      </c>
    </row>
    <row r="10" spans="1:7" s="189" customFormat="1" ht="15">
      <c r="A10" s="208" t="s">
        <v>358</v>
      </c>
      <c r="B10" s="209">
        <f>B11</f>
        <v>9418195.37</v>
      </c>
      <c r="C10" s="210">
        <f>C11</f>
        <v>9115800.65</v>
      </c>
      <c r="D10" s="211">
        <f>D11</f>
        <v>9982817.86</v>
      </c>
      <c r="E10" s="211">
        <f>E11</f>
        <v>10014093.5</v>
      </c>
      <c r="F10" s="212">
        <f>SUM(E10/B10*100)</f>
        <v>106.32709459285724</v>
      </c>
      <c r="G10" s="213">
        <f>SUM(E10/D10*100)</f>
        <v>100.31329470735231</v>
      </c>
    </row>
    <row r="11" spans="1:7" s="190" customFormat="1" ht="15">
      <c r="A11" s="214" t="s">
        <v>359</v>
      </c>
      <c r="B11" s="215">
        <f>B12+B16+B18</f>
        <v>9418195.37</v>
      </c>
      <c r="C11" s="216">
        <f>C12+C16+C18</f>
        <v>9115800.65</v>
      </c>
      <c r="D11" s="217">
        <f>D12+D16+D18</f>
        <v>9982817.86</v>
      </c>
      <c r="E11" s="217">
        <f>E12+E16+E18</f>
        <v>10014093.5</v>
      </c>
      <c r="F11" s="218">
        <f>SUM(E11/B11*100)</f>
        <v>106.32709459285724</v>
      </c>
      <c r="G11" s="219">
        <f>SUM(E11/D11*100)</f>
        <v>100.31329470735231</v>
      </c>
    </row>
    <row r="12" spans="1:7" s="190" customFormat="1" ht="15">
      <c r="A12" s="214" t="s">
        <v>360</v>
      </c>
      <c r="B12" s="215">
        <f>B13+B14+B15</f>
        <v>9418195.37</v>
      </c>
      <c r="C12" s="216">
        <f>C13+C14+C15</f>
        <v>9115800.65</v>
      </c>
      <c r="D12" s="217">
        <f>D13+D14+D15</f>
        <v>9982817.86</v>
      </c>
      <c r="E12" s="217">
        <f>E13+E14+E15</f>
        <v>10014093.5</v>
      </c>
      <c r="F12" s="218">
        <f>SUM(E12/B12*100)</f>
        <v>106.32709459285724</v>
      </c>
      <c r="G12" s="219">
        <f>SUM(E12/D12*100)</f>
        <v>100.31329470735231</v>
      </c>
    </row>
    <row r="13" spans="1:7" s="190" customFormat="1" ht="15">
      <c r="A13" s="220" t="s">
        <v>361</v>
      </c>
      <c r="B13" s="221">
        <v>9418195.37</v>
      </c>
      <c r="C13" s="222">
        <v>9115800.65</v>
      </c>
      <c r="D13" s="223">
        <v>9982817.86</v>
      </c>
      <c r="E13" s="223">
        <v>10014093.5</v>
      </c>
      <c r="F13" s="224">
        <f>SUM(E13/B13*100)</f>
        <v>106.32709459285724</v>
      </c>
      <c r="G13" s="225">
        <f>SUM(E13/D13*100)</f>
        <v>100.31329470735231</v>
      </c>
    </row>
    <row r="14" spans="1:7" s="190" customFormat="1" ht="15">
      <c r="A14" s="220" t="s">
        <v>362</v>
      </c>
      <c r="B14" s="221"/>
      <c r="C14" s="222"/>
      <c r="D14" s="223"/>
      <c r="E14" s="223">
        <v>0</v>
      </c>
      <c r="F14" s="218"/>
      <c r="G14" s="219"/>
    </row>
    <row r="15" spans="1:7" s="190" customFormat="1" ht="15">
      <c r="A15" s="220" t="s">
        <v>363</v>
      </c>
      <c r="B15" s="221"/>
      <c r="C15" s="222"/>
      <c r="D15" s="223"/>
      <c r="E15" s="223">
        <v>0</v>
      </c>
      <c r="F15" s="218"/>
      <c r="G15" s="219"/>
    </row>
    <row r="16" spans="1:7" s="191" customFormat="1" ht="15">
      <c r="A16" s="226" t="s">
        <v>364</v>
      </c>
      <c r="B16" s="215">
        <f>B17</f>
        <v>0</v>
      </c>
      <c r="C16" s="227">
        <f>C17</f>
        <v>0</v>
      </c>
      <c r="D16" s="228">
        <f>D17</f>
        <v>0</v>
      </c>
      <c r="E16" s="228">
        <f>E17</f>
        <v>0</v>
      </c>
      <c r="F16" s="218"/>
      <c r="G16" s="219"/>
    </row>
    <row r="17" spans="1:7" s="192" customFormat="1" ht="15">
      <c r="A17" s="229" t="s">
        <v>365</v>
      </c>
      <c r="B17" s="230"/>
      <c r="C17" s="231"/>
      <c r="D17" s="230"/>
      <c r="E17" s="221"/>
      <c r="F17" s="224"/>
      <c r="G17" s="225"/>
    </row>
    <row r="18" spans="1:7" s="193" customFormat="1" ht="15.75">
      <c r="A18" s="232" t="s">
        <v>366</v>
      </c>
      <c r="B18" s="215">
        <v>0</v>
      </c>
      <c r="C18" s="216">
        <v>0</v>
      </c>
      <c r="D18" s="217">
        <v>0</v>
      </c>
      <c r="E18" s="217">
        <v>0</v>
      </c>
      <c r="F18" s="218"/>
      <c r="G18" s="219"/>
    </row>
    <row r="21" ht="15.75">
      <c r="E21" s="233"/>
    </row>
  </sheetData>
  <sheetProtection/>
  <mergeCells count="4">
    <mergeCell ref="A1:G1"/>
    <mergeCell ref="A2:G2"/>
    <mergeCell ref="A4:G4"/>
    <mergeCell ref="A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O13" sqref="O13"/>
    </sheetView>
  </sheetViews>
  <sheetFormatPr defaultColWidth="8.8515625" defaultRowHeight="15"/>
  <cols>
    <col min="1" max="1" width="7.00390625" style="122" customWidth="1"/>
    <col min="2" max="2" width="8.00390625" style="122" customWidth="1"/>
    <col min="3" max="3" width="5.28125" style="122" customWidth="1"/>
    <col min="4" max="4" width="60.421875" style="122" customWidth="1"/>
    <col min="5" max="5" width="12.57421875" style="122" customWidth="1"/>
    <col min="6" max="6" width="12.140625" style="122" customWidth="1"/>
    <col min="7" max="7" width="11.8515625" style="122" customWidth="1"/>
    <col min="8" max="8" width="12.00390625" style="122" customWidth="1"/>
    <col min="9" max="9" width="9.8515625" style="122" customWidth="1"/>
    <col min="10" max="10" width="9.28125" style="122" customWidth="1"/>
    <col min="11" max="16384" width="8.8515625" style="122" customWidth="1"/>
  </cols>
  <sheetData>
    <row r="1" spans="1:10" ht="15.75">
      <c r="A1" s="721"/>
      <c r="B1" s="721"/>
      <c r="C1" s="721"/>
      <c r="D1" s="721"/>
      <c r="E1" s="721"/>
      <c r="F1" s="721"/>
      <c r="G1" s="721"/>
      <c r="H1" s="721"/>
      <c r="I1" s="721"/>
      <c r="J1" s="721"/>
    </row>
    <row r="2" spans="1:10" ht="15.75" customHeight="1">
      <c r="A2" s="751" t="s">
        <v>1</v>
      </c>
      <c r="B2" s="751"/>
      <c r="C2" s="751"/>
      <c r="D2" s="751"/>
      <c r="E2" s="751"/>
      <c r="F2" s="751"/>
      <c r="G2" s="751"/>
      <c r="H2" s="751"/>
      <c r="I2" s="751"/>
      <c r="J2" s="751"/>
    </row>
    <row r="3" spans="1:9" ht="15.75">
      <c r="A3" s="129"/>
      <c r="B3" s="129"/>
      <c r="C3" s="129"/>
      <c r="D3" s="129"/>
      <c r="E3" s="129"/>
      <c r="F3" s="129"/>
      <c r="G3" s="129"/>
      <c r="H3" s="130"/>
      <c r="I3" s="130"/>
    </row>
    <row r="4" spans="1:10" ht="15.75" customHeight="1">
      <c r="A4" s="751" t="s">
        <v>367</v>
      </c>
      <c r="B4" s="751"/>
      <c r="C4" s="751"/>
      <c r="D4" s="751"/>
      <c r="E4" s="751"/>
      <c r="F4" s="751"/>
      <c r="G4" s="751"/>
      <c r="H4" s="751"/>
      <c r="I4" s="751"/>
      <c r="J4" s="751"/>
    </row>
    <row r="5" spans="1:9" ht="15.75">
      <c r="A5" s="129"/>
      <c r="B5" s="131"/>
      <c r="C5" s="131"/>
      <c r="D5" s="131"/>
      <c r="E5" s="131"/>
      <c r="F5" s="131"/>
      <c r="G5" s="131"/>
      <c r="H5" s="131"/>
      <c r="I5" s="131"/>
    </row>
    <row r="6" spans="1:9" ht="15.75">
      <c r="A6" s="129"/>
      <c r="B6" s="131"/>
      <c r="C6" s="131"/>
      <c r="D6" s="131"/>
      <c r="E6" s="131"/>
      <c r="F6" s="131"/>
      <c r="G6" s="132"/>
      <c r="H6" s="131"/>
      <c r="I6" s="131"/>
    </row>
    <row r="7" spans="1:10" s="123" customFormat="1" ht="63">
      <c r="A7" s="133" t="s">
        <v>33</v>
      </c>
      <c r="B7" s="133" t="s">
        <v>368</v>
      </c>
      <c r="C7" s="133" t="s">
        <v>35</v>
      </c>
      <c r="D7" s="133" t="s">
        <v>36</v>
      </c>
      <c r="E7" s="134" t="s">
        <v>369</v>
      </c>
      <c r="F7" s="134" t="s">
        <v>38</v>
      </c>
      <c r="G7" s="134" t="s">
        <v>39</v>
      </c>
      <c r="H7" s="134" t="s">
        <v>370</v>
      </c>
      <c r="I7" s="176" t="s">
        <v>41</v>
      </c>
      <c r="J7" s="177" t="s">
        <v>41</v>
      </c>
    </row>
    <row r="8" spans="1:10" s="124" customFormat="1" ht="12">
      <c r="A8" s="752">
        <v>1</v>
      </c>
      <c r="B8" s="752"/>
      <c r="C8" s="752"/>
      <c r="D8" s="752"/>
      <c r="E8" s="135">
        <v>2</v>
      </c>
      <c r="F8" s="135">
        <v>3</v>
      </c>
      <c r="G8" s="135">
        <v>4</v>
      </c>
      <c r="H8" s="135">
        <v>5</v>
      </c>
      <c r="I8" s="178" t="s">
        <v>11</v>
      </c>
      <c r="J8" s="179" t="s">
        <v>12</v>
      </c>
    </row>
    <row r="9" spans="1:10" ht="15.75">
      <c r="A9" s="136">
        <v>8</v>
      </c>
      <c r="B9" s="137"/>
      <c r="C9" s="137"/>
      <c r="D9" s="137" t="s">
        <v>371</v>
      </c>
      <c r="E9" s="138">
        <f>SUM(E10)</f>
        <v>0</v>
      </c>
      <c r="F9" s="138">
        <f>SUM(F10)</f>
        <v>0</v>
      </c>
      <c r="G9" s="138">
        <f>SUM(G10)</f>
        <v>0</v>
      </c>
      <c r="H9" s="139">
        <f>SUM(H10)</f>
        <v>0</v>
      </c>
      <c r="I9" s="180">
        <v>0</v>
      </c>
      <c r="J9" s="180">
        <v>0</v>
      </c>
    </row>
    <row r="10" spans="1:256" s="125" customFormat="1" ht="15.75">
      <c r="A10" s="140"/>
      <c r="B10" s="141">
        <v>84</v>
      </c>
      <c r="C10" s="142"/>
      <c r="D10" s="143" t="s">
        <v>372</v>
      </c>
      <c r="E10" s="144">
        <f>SUM(E11)</f>
        <v>0</v>
      </c>
      <c r="F10" s="144">
        <v>0</v>
      </c>
      <c r="G10" s="144">
        <f>SUM(G11)</f>
        <v>0</v>
      </c>
      <c r="H10" s="145">
        <f>SUM(H11)</f>
        <v>0</v>
      </c>
      <c r="I10" s="180">
        <v>0</v>
      </c>
      <c r="J10" s="180">
        <v>0</v>
      </c>
      <c r="K10" s="181"/>
      <c r="L10" s="182"/>
      <c r="M10" s="183"/>
      <c r="N10" s="184"/>
      <c r="O10" s="184"/>
      <c r="P10" s="184"/>
      <c r="Q10" s="184"/>
      <c r="R10" s="184"/>
      <c r="S10" s="182"/>
      <c r="T10" s="181"/>
      <c r="U10" s="182"/>
      <c r="V10" s="183"/>
      <c r="W10" s="184"/>
      <c r="X10" s="184"/>
      <c r="Y10" s="184"/>
      <c r="Z10" s="184"/>
      <c r="AA10" s="184"/>
      <c r="AB10" s="182"/>
      <c r="AC10" s="181"/>
      <c r="AD10" s="182"/>
      <c r="AE10" s="183"/>
      <c r="AF10" s="184"/>
      <c r="AG10" s="184"/>
      <c r="AH10" s="184"/>
      <c r="AI10" s="184"/>
      <c r="AJ10" s="184"/>
      <c r="AK10" s="182"/>
      <c r="AL10" s="181"/>
      <c r="AM10" s="182"/>
      <c r="AN10" s="183"/>
      <c r="AO10" s="184"/>
      <c r="AP10" s="184"/>
      <c r="AQ10" s="184"/>
      <c r="AR10" s="184"/>
      <c r="AS10" s="184"/>
      <c r="AT10" s="182"/>
      <c r="AU10" s="181"/>
      <c r="AV10" s="182"/>
      <c r="AW10" s="183"/>
      <c r="AX10" s="184"/>
      <c r="AY10" s="184"/>
      <c r="AZ10" s="184"/>
      <c r="BA10" s="184"/>
      <c r="BB10" s="184"/>
      <c r="BC10" s="182"/>
      <c r="BD10" s="181"/>
      <c r="BE10" s="182"/>
      <c r="BF10" s="183"/>
      <c r="BG10" s="184"/>
      <c r="BH10" s="184"/>
      <c r="BI10" s="184"/>
      <c r="BJ10" s="184"/>
      <c r="BK10" s="184"/>
      <c r="BL10" s="182"/>
      <c r="BM10" s="181"/>
      <c r="BN10" s="182"/>
      <c r="BO10" s="183"/>
      <c r="BP10" s="184"/>
      <c r="BQ10" s="184"/>
      <c r="BR10" s="184"/>
      <c r="BS10" s="184"/>
      <c r="BT10" s="184"/>
      <c r="BU10" s="182"/>
      <c r="BV10" s="181"/>
      <c r="BW10" s="182"/>
      <c r="BX10" s="183"/>
      <c r="BY10" s="184"/>
      <c r="BZ10" s="184"/>
      <c r="CA10" s="184"/>
      <c r="CB10" s="184"/>
      <c r="CC10" s="184"/>
      <c r="CD10" s="182"/>
      <c r="CE10" s="181"/>
      <c r="CF10" s="182"/>
      <c r="CG10" s="183"/>
      <c r="CH10" s="184"/>
      <c r="CI10" s="184"/>
      <c r="CJ10" s="184"/>
      <c r="CK10" s="184"/>
      <c r="CL10" s="184"/>
      <c r="CM10" s="182"/>
      <c r="CN10" s="181"/>
      <c r="CO10" s="182"/>
      <c r="CP10" s="183"/>
      <c r="CQ10" s="184"/>
      <c r="CR10" s="184"/>
      <c r="CS10" s="184"/>
      <c r="CT10" s="184"/>
      <c r="CU10" s="184"/>
      <c r="CV10" s="182"/>
      <c r="CW10" s="181"/>
      <c r="CX10" s="182"/>
      <c r="CY10" s="183"/>
      <c r="CZ10" s="184"/>
      <c r="DA10" s="184"/>
      <c r="DB10" s="184"/>
      <c r="DC10" s="184"/>
      <c r="DD10" s="184"/>
      <c r="DE10" s="182"/>
      <c r="DF10" s="181"/>
      <c r="DG10" s="182"/>
      <c r="DH10" s="183"/>
      <c r="DI10" s="184"/>
      <c r="DJ10" s="184"/>
      <c r="DK10" s="184"/>
      <c r="DL10" s="184"/>
      <c r="DM10" s="184"/>
      <c r="DN10" s="182"/>
      <c r="DO10" s="181"/>
      <c r="DP10" s="182"/>
      <c r="DQ10" s="183"/>
      <c r="DR10" s="184"/>
      <c r="DS10" s="184"/>
      <c r="DT10" s="184"/>
      <c r="DU10" s="184"/>
      <c r="DV10" s="184"/>
      <c r="DW10" s="182"/>
      <c r="DX10" s="181"/>
      <c r="DY10" s="182"/>
      <c r="DZ10" s="183"/>
      <c r="EA10" s="184"/>
      <c r="EB10" s="184"/>
      <c r="EC10" s="184"/>
      <c r="ED10" s="184"/>
      <c r="EE10" s="184"/>
      <c r="EF10" s="182"/>
      <c r="EG10" s="181"/>
      <c r="EH10" s="182"/>
      <c r="EI10" s="183"/>
      <c r="EJ10" s="184"/>
      <c r="EK10" s="184"/>
      <c r="EL10" s="184"/>
      <c r="EM10" s="184"/>
      <c r="EN10" s="184"/>
      <c r="EO10" s="182"/>
      <c r="EP10" s="181"/>
      <c r="EQ10" s="182"/>
      <c r="ER10" s="183"/>
      <c r="ES10" s="184"/>
      <c r="ET10" s="184"/>
      <c r="EU10" s="184"/>
      <c r="EV10" s="184"/>
      <c r="EW10" s="184"/>
      <c r="EX10" s="182"/>
      <c r="EY10" s="181"/>
      <c r="EZ10" s="182"/>
      <c r="FA10" s="183"/>
      <c r="FB10" s="184"/>
      <c r="FC10" s="184"/>
      <c r="FD10" s="184"/>
      <c r="FE10" s="184"/>
      <c r="FF10" s="184"/>
      <c r="FG10" s="182"/>
      <c r="FH10" s="181"/>
      <c r="FI10" s="182"/>
      <c r="FJ10" s="183"/>
      <c r="FK10" s="184"/>
      <c r="FL10" s="184"/>
      <c r="FM10" s="184"/>
      <c r="FN10" s="184"/>
      <c r="FO10" s="184"/>
      <c r="FP10" s="182"/>
      <c r="FQ10" s="181"/>
      <c r="FR10" s="182"/>
      <c r="FS10" s="183"/>
      <c r="FT10" s="184"/>
      <c r="FU10" s="184"/>
      <c r="FV10" s="184"/>
      <c r="FW10" s="184"/>
      <c r="FX10" s="184"/>
      <c r="FY10" s="182"/>
      <c r="FZ10" s="181"/>
      <c r="GA10" s="182"/>
      <c r="GB10" s="183"/>
      <c r="GC10" s="184"/>
      <c r="GD10" s="184"/>
      <c r="GE10" s="184"/>
      <c r="GF10" s="184"/>
      <c r="GG10" s="184"/>
      <c r="GH10" s="182"/>
      <c r="GI10" s="181"/>
      <c r="GJ10" s="182"/>
      <c r="GK10" s="183"/>
      <c r="GL10" s="184"/>
      <c r="GM10" s="184"/>
      <c r="GN10" s="184"/>
      <c r="GO10" s="184"/>
      <c r="GP10" s="184"/>
      <c r="GQ10" s="182"/>
      <c r="GR10" s="181"/>
      <c r="GS10" s="182"/>
      <c r="GT10" s="183"/>
      <c r="GU10" s="184"/>
      <c r="GV10" s="184"/>
      <c r="GW10" s="184"/>
      <c r="GX10" s="184"/>
      <c r="GY10" s="184"/>
      <c r="GZ10" s="182"/>
      <c r="HA10" s="181"/>
      <c r="HB10" s="182"/>
      <c r="HC10" s="183"/>
      <c r="HD10" s="184"/>
      <c r="HE10" s="184"/>
      <c r="HF10" s="184"/>
      <c r="HG10" s="184"/>
      <c r="HH10" s="184"/>
      <c r="HI10" s="182"/>
      <c r="HJ10" s="181"/>
      <c r="HK10" s="182"/>
      <c r="HL10" s="183"/>
      <c r="HM10" s="184"/>
      <c r="HN10" s="184"/>
      <c r="HO10" s="184"/>
      <c r="HP10" s="184"/>
      <c r="HQ10" s="184"/>
      <c r="HR10" s="182"/>
      <c r="HS10" s="181"/>
      <c r="HT10" s="182"/>
      <c r="HU10" s="183"/>
      <c r="HV10" s="184"/>
      <c r="HW10" s="184"/>
      <c r="HX10" s="184"/>
      <c r="HY10" s="184"/>
      <c r="HZ10" s="184"/>
      <c r="IA10" s="182"/>
      <c r="IB10" s="181"/>
      <c r="IC10" s="182"/>
      <c r="ID10" s="183"/>
      <c r="IE10" s="184"/>
      <c r="IF10" s="184"/>
      <c r="IG10" s="184"/>
      <c r="IH10" s="184"/>
      <c r="II10" s="184"/>
      <c r="IJ10" s="182"/>
      <c r="IK10" s="181"/>
      <c r="IL10" s="182"/>
      <c r="IM10" s="183"/>
      <c r="IN10" s="184"/>
      <c r="IO10" s="184"/>
      <c r="IP10" s="184"/>
      <c r="IQ10" s="184"/>
      <c r="IR10" s="184"/>
      <c r="IS10" s="182"/>
      <c r="IT10" s="181"/>
      <c r="IU10" s="182"/>
      <c r="IV10" s="183"/>
    </row>
    <row r="11" spans="1:256" s="125" customFormat="1" ht="31.5">
      <c r="A11" s="140"/>
      <c r="B11" s="146" t="s">
        <v>373</v>
      </c>
      <c r="C11" s="147"/>
      <c r="D11" s="148" t="s">
        <v>374</v>
      </c>
      <c r="E11" s="149">
        <v>0</v>
      </c>
      <c r="F11" s="149">
        <v>0</v>
      </c>
      <c r="G11" s="149">
        <f>SUM(G12)</f>
        <v>0</v>
      </c>
      <c r="H11" s="150">
        <f>SUM(H12)</f>
        <v>0</v>
      </c>
      <c r="I11" s="180">
        <v>0</v>
      </c>
      <c r="J11" s="180">
        <v>0</v>
      </c>
      <c r="K11" s="181"/>
      <c r="L11" s="182"/>
      <c r="M11" s="183"/>
      <c r="N11" s="184"/>
      <c r="O11" s="184"/>
      <c r="P11" s="184"/>
      <c r="Q11" s="184"/>
      <c r="R11" s="184"/>
      <c r="S11" s="182"/>
      <c r="T11" s="181"/>
      <c r="U11" s="182"/>
      <c r="V11" s="183"/>
      <c r="W11" s="184"/>
      <c r="X11" s="184"/>
      <c r="Y11" s="184"/>
      <c r="Z11" s="184"/>
      <c r="AA11" s="184"/>
      <c r="AB11" s="182"/>
      <c r="AC11" s="181"/>
      <c r="AD11" s="182"/>
      <c r="AE11" s="183"/>
      <c r="AF11" s="184"/>
      <c r="AG11" s="184"/>
      <c r="AH11" s="184"/>
      <c r="AI11" s="184"/>
      <c r="AJ11" s="184"/>
      <c r="AK11" s="182"/>
      <c r="AL11" s="181"/>
      <c r="AM11" s="182"/>
      <c r="AN11" s="183"/>
      <c r="AO11" s="184"/>
      <c r="AP11" s="184"/>
      <c r="AQ11" s="184"/>
      <c r="AR11" s="184"/>
      <c r="AS11" s="184"/>
      <c r="AT11" s="182"/>
      <c r="AU11" s="181"/>
      <c r="AV11" s="182"/>
      <c r="AW11" s="183"/>
      <c r="AX11" s="184"/>
      <c r="AY11" s="184"/>
      <c r="AZ11" s="184"/>
      <c r="BA11" s="184"/>
      <c r="BB11" s="184"/>
      <c r="BC11" s="182"/>
      <c r="BD11" s="181"/>
      <c r="BE11" s="182"/>
      <c r="BF11" s="183"/>
      <c r="BG11" s="184"/>
      <c r="BH11" s="184"/>
      <c r="BI11" s="184"/>
      <c r="BJ11" s="184"/>
      <c r="BK11" s="184"/>
      <c r="BL11" s="182"/>
      <c r="BM11" s="181"/>
      <c r="BN11" s="182"/>
      <c r="BO11" s="183"/>
      <c r="BP11" s="184"/>
      <c r="BQ11" s="184"/>
      <c r="BR11" s="184"/>
      <c r="BS11" s="184"/>
      <c r="BT11" s="184"/>
      <c r="BU11" s="182"/>
      <c r="BV11" s="181"/>
      <c r="BW11" s="182"/>
      <c r="BX11" s="183"/>
      <c r="BY11" s="184"/>
      <c r="BZ11" s="184"/>
      <c r="CA11" s="184"/>
      <c r="CB11" s="184"/>
      <c r="CC11" s="184"/>
      <c r="CD11" s="182"/>
      <c r="CE11" s="181"/>
      <c r="CF11" s="182"/>
      <c r="CG11" s="183"/>
      <c r="CH11" s="184"/>
      <c r="CI11" s="184"/>
      <c r="CJ11" s="184"/>
      <c r="CK11" s="184"/>
      <c r="CL11" s="184"/>
      <c r="CM11" s="182"/>
      <c r="CN11" s="181"/>
      <c r="CO11" s="182"/>
      <c r="CP11" s="183"/>
      <c r="CQ11" s="184"/>
      <c r="CR11" s="184"/>
      <c r="CS11" s="184"/>
      <c r="CT11" s="184"/>
      <c r="CU11" s="184"/>
      <c r="CV11" s="182"/>
      <c r="CW11" s="181"/>
      <c r="CX11" s="182"/>
      <c r="CY11" s="183"/>
      <c r="CZ11" s="184"/>
      <c r="DA11" s="184"/>
      <c r="DB11" s="184"/>
      <c r="DC11" s="184"/>
      <c r="DD11" s="184"/>
      <c r="DE11" s="182"/>
      <c r="DF11" s="181"/>
      <c r="DG11" s="182"/>
      <c r="DH11" s="183"/>
      <c r="DI11" s="184"/>
      <c r="DJ11" s="184"/>
      <c r="DK11" s="184"/>
      <c r="DL11" s="184"/>
      <c r="DM11" s="184"/>
      <c r="DN11" s="182"/>
      <c r="DO11" s="181"/>
      <c r="DP11" s="182"/>
      <c r="DQ11" s="183"/>
      <c r="DR11" s="184"/>
      <c r="DS11" s="184"/>
      <c r="DT11" s="184"/>
      <c r="DU11" s="184"/>
      <c r="DV11" s="184"/>
      <c r="DW11" s="182"/>
      <c r="DX11" s="181"/>
      <c r="DY11" s="182"/>
      <c r="DZ11" s="183"/>
      <c r="EA11" s="184"/>
      <c r="EB11" s="184"/>
      <c r="EC11" s="184"/>
      <c r="ED11" s="184"/>
      <c r="EE11" s="184"/>
      <c r="EF11" s="182"/>
      <c r="EG11" s="181"/>
      <c r="EH11" s="182"/>
      <c r="EI11" s="183"/>
      <c r="EJ11" s="184"/>
      <c r="EK11" s="184"/>
      <c r="EL11" s="184"/>
      <c r="EM11" s="184"/>
      <c r="EN11" s="184"/>
      <c r="EO11" s="182"/>
      <c r="EP11" s="181"/>
      <c r="EQ11" s="182"/>
      <c r="ER11" s="183"/>
      <c r="ES11" s="184"/>
      <c r="ET11" s="184"/>
      <c r="EU11" s="184"/>
      <c r="EV11" s="184"/>
      <c r="EW11" s="184"/>
      <c r="EX11" s="182"/>
      <c r="EY11" s="181"/>
      <c r="EZ11" s="182"/>
      <c r="FA11" s="183"/>
      <c r="FB11" s="184"/>
      <c r="FC11" s="184"/>
      <c r="FD11" s="184"/>
      <c r="FE11" s="184"/>
      <c r="FF11" s="184"/>
      <c r="FG11" s="182"/>
      <c r="FH11" s="181"/>
      <c r="FI11" s="182"/>
      <c r="FJ11" s="183"/>
      <c r="FK11" s="184"/>
      <c r="FL11" s="184"/>
      <c r="FM11" s="184"/>
      <c r="FN11" s="184"/>
      <c r="FO11" s="184"/>
      <c r="FP11" s="182"/>
      <c r="FQ11" s="181"/>
      <c r="FR11" s="182"/>
      <c r="FS11" s="183"/>
      <c r="FT11" s="184"/>
      <c r="FU11" s="184"/>
      <c r="FV11" s="184"/>
      <c r="FW11" s="184"/>
      <c r="FX11" s="184"/>
      <c r="FY11" s="182"/>
      <c r="FZ11" s="181"/>
      <c r="GA11" s="182"/>
      <c r="GB11" s="183"/>
      <c r="GC11" s="184"/>
      <c r="GD11" s="184"/>
      <c r="GE11" s="184"/>
      <c r="GF11" s="184"/>
      <c r="GG11" s="184"/>
      <c r="GH11" s="182"/>
      <c r="GI11" s="181"/>
      <c r="GJ11" s="182"/>
      <c r="GK11" s="183"/>
      <c r="GL11" s="184"/>
      <c r="GM11" s="184"/>
      <c r="GN11" s="184"/>
      <c r="GO11" s="184"/>
      <c r="GP11" s="184"/>
      <c r="GQ11" s="182"/>
      <c r="GR11" s="181"/>
      <c r="GS11" s="182"/>
      <c r="GT11" s="183"/>
      <c r="GU11" s="184"/>
      <c r="GV11" s="184"/>
      <c r="GW11" s="184"/>
      <c r="GX11" s="184"/>
      <c r="GY11" s="184"/>
      <c r="GZ11" s="182"/>
      <c r="HA11" s="181"/>
      <c r="HB11" s="182"/>
      <c r="HC11" s="183"/>
      <c r="HD11" s="184"/>
      <c r="HE11" s="184"/>
      <c r="HF11" s="184"/>
      <c r="HG11" s="184"/>
      <c r="HH11" s="184"/>
      <c r="HI11" s="182"/>
      <c r="HJ11" s="181"/>
      <c r="HK11" s="182"/>
      <c r="HL11" s="183"/>
      <c r="HM11" s="184"/>
      <c r="HN11" s="184"/>
      <c r="HO11" s="184"/>
      <c r="HP11" s="184"/>
      <c r="HQ11" s="184"/>
      <c r="HR11" s="182"/>
      <c r="HS11" s="181"/>
      <c r="HT11" s="182"/>
      <c r="HU11" s="183"/>
      <c r="HV11" s="184"/>
      <c r="HW11" s="184"/>
      <c r="HX11" s="184"/>
      <c r="HY11" s="184"/>
      <c r="HZ11" s="184"/>
      <c r="IA11" s="182"/>
      <c r="IB11" s="181"/>
      <c r="IC11" s="182"/>
      <c r="ID11" s="183"/>
      <c r="IE11" s="184"/>
      <c r="IF11" s="184"/>
      <c r="IG11" s="184"/>
      <c r="IH11" s="184"/>
      <c r="II11" s="184"/>
      <c r="IJ11" s="182"/>
      <c r="IK11" s="181"/>
      <c r="IL11" s="182"/>
      <c r="IM11" s="183"/>
      <c r="IN11" s="184"/>
      <c r="IO11" s="184"/>
      <c r="IP11" s="184"/>
      <c r="IQ11" s="184"/>
      <c r="IR11" s="184"/>
      <c r="IS11" s="182"/>
      <c r="IT11" s="181"/>
      <c r="IU11" s="182"/>
      <c r="IV11" s="183"/>
    </row>
    <row r="12" spans="1:256" s="125" customFormat="1" ht="15.75">
      <c r="A12" s="151"/>
      <c r="B12" s="152">
        <v>8422</v>
      </c>
      <c r="C12" s="153"/>
      <c r="D12" s="154" t="s">
        <v>375</v>
      </c>
      <c r="E12" s="155">
        <v>0</v>
      </c>
      <c r="F12" s="155">
        <v>0</v>
      </c>
      <c r="G12" s="156">
        <v>0</v>
      </c>
      <c r="H12" s="157">
        <v>0</v>
      </c>
      <c r="I12" s="185">
        <v>0</v>
      </c>
      <c r="J12" s="185">
        <v>0</v>
      </c>
      <c r="K12" s="181"/>
      <c r="L12" s="182"/>
      <c r="M12" s="183"/>
      <c r="N12" s="184"/>
      <c r="O12" s="184"/>
      <c r="P12" s="184"/>
      <c r="Q12" s="184"/>
      <c r="R12" s="184"/>
      <c r="S12" s="182"/>
      <c r="T12" s="181"/>
      <c r="U12" s="182"/>
      <c r="V12" s="183"/>
      <c r="W12" s="184"/>
      <c r="X12" s="184"/>
      <c r="Y12" s="184"/>
      <c r="Z12" s="184"/>
      <c r="AA12" s="184"/>
      <c r="AB12" s="182"/>
      <c r="AC12" s="181"/>
      <c r="AD12" s="182"/>
      <c r="AE12" s="183"/>
      <c r="AF12" s="184"/>
      <c r="AG12" s="184"/>
      <c r="AH12" s="184"/>
      <c r="AI12" s="184"/>
      <c r="AJ12" s="184"/>
      <c r="AK12" s="182"/>
      <c r="AL12" s="181"/>
      <c r="AM12" s="182"/>
      <c r="AN12" s="183"/>
      <c r="AO12" s="184"/>
      <c r="AP12" s="184"/>
      <c r="AQ12" s="184"/>
      <c r="AR12" s="184"/>
      <c r="AS12" s="184"/>
      <c r="AT12" s="182"/>
      <c r="AU12" s="181"/>
      <c r="AV12" s="182"/>
      <c r="AW12" s="183"/>
      <c r="AX12" s="184"/>
      <c r="AY12" s="184"/>
      <c r="AZ12" s="184"/>
      <c r="BA12" s="184"/>
      <c r="BB12" s="184"/>
      <c r="BC12" s="182"/>
      <c r="BD12" s="181"/>
      <c r="BE12" s="182"/>
      <c r="BF12" s="183"/>
      <c r="BG12" s="184"/>
      <c r="BH12" s="184"/>
      <c r="BI12" s="184"/>
      <c r="BJ12" s="184"/>
      <c r="BK12" s="184"/>
      <c r="BL12" s="182"/>
      <c r="BM12" s="181"/>
      <c r="BN12" s="182"/>
      <c r="BO12" s="183"/>
      <c r="BP12" s="184"/>
      <c r="BQ12" s="184"/>
      <c r="BR12" s="184"/>
      <c r="BS12" s="184"/>
      <c r="BT12" s="184"/>
      <c r="BU12" s="182"/>
      <c r="BV12" s="181"/>
      <c r="BW12" s="182"/>
      <c r="BX12" s="183"/>
      <c r="BY12" s="184"/>
      <c r="BZ12" s="184"/>
      <c r="CA12" s="184"/>
      <c r="CB12" s="184"/>
      <c r="CC12" s="184"/>
      <c r="CD12" s="182"/>
      <c r="CE12" s="181"/>
      <c r="CF12" s="182"/>
      <c r="CG12" s="183"/>
      <c r="CH12" s="184"/>
      <c r="CI12" s="184"/>
      <c r="CJ12" s="184"/>
      <c r="CK12" s="184"/>
      <c r="CL12" s="184"/>
      <c r="CM12" s="182"/>
      <c r="CN12" s="181"/>
      <c r="CO12" s="182"/>
      <c r="CP12" s="183"/>
      <c r="CQ12" s="184"/>
      <c r="CR12" s="184"/>
      <c r="CS12" s="184"/>
      <c r="CT12" s="184"/>
      <c r="CU12" s="184"/>
      <c r="CV12" s="182"/>
      <c r="CW12" s="181"/>
      <c r="CX12" s="182"/>
      <c r="CY12" s="183"/>
      <c r="CZ12" s="184"/>
      <c r="DA12" s="184"/>
      <c r="DB12" s="184"/>
      <c r="DC12" s="184"/>
      <c r="DD12" s="184"/>
      <c r="DE12" s="182"/>
      <c r="DF12" s="181"/>
      <c r="DG12" s="182"/>
      <c r="DH12" s="183"/>
      <c r="DI12" s="184"/>
      <c r="DJ12" s="184"/>
      <c r="DK12" s="184"/>
      <c r="DL12" s="184"/>
      <c r="DM12" s="184"/>
      <c r="DN12" s="182"/>
      <c r="DO12" s="181"/>
      <c r="DP12" s="182"/>
      <c r="DQ12" s="183"/>
      <c r="DR12" s="184"/>
      <c r="DS12" s="184"/>
      <c r="DT12" s="184"/>
      <c r="DU12" s="184"/>
      <c r="DV12" s="184"/>
      <c r="DW12" s="182"/>
      <c r="DX12" s="181"/>
      <c r="DY12" s="182"/>
      <c r="DZ12" s="183"/>
      <c r="EA12" s="184"/>
      <c r="EB12" s="184"/>
      <c r="EC12" s="184"/>
      <c r="ED12" s="184"/>
      <c r="EE12" s="184"/>
      <c r="EF12" s="182"/>
      <c r="EG12" s="181"/>
      <c r="EH12" s="182"/>
      <c r="EI12" s="183"/>
      <c r="EJ12" s="184"/>
      <c r="EK12" s="184"/>
      <c r="EL12" s="184"/>
      <c r="EM12" s="184"/>
      <c r="EN12" s="184"/>
      <c r="EO12" s="182"/>
      <c r="EP12" s="181"/>
      <c r="EQ12" s="182"/>
      <c r="ER12" s="183"/>
      <c r="ES12" s="184"/>
      <c r="ET12" s="184"/>
      <c r="EU12" s="184"/>
      <c r="EV12" s="184"/>
      <c r="EW12" s="184"/>
      <c r="EX12" s="182"/>
      <c r="EY12" s="181"/>
      <c r="EZ12" s="182"/>
      <c r="FA12" s="183"/>
      <c r="FB12" s="184"/>
      <c r="FC12" s="184"/>
      <c r="FD12" s="184"/>
      <c r="FE12" s="184"/>
      <c r="FF12" s="184"/>
      <c r="FG12" s="182"/>
      <c r="FH12" s="181"/>
      <c r="FI12" s="182"/>
      <c r="FJ12" s="183"/>
      <c r="FK12" s="184"/>
      <c r="FL12" s="184"/>
      <c r="FM12" s="184"/>
      <c r="FN12" s="184"/>
      <c r="FO12" s="184"/>
      <c r="FP12" s="182"/>
      <c r="FQ12" s="181"/>
      <c r="FR12" s="182"/>
      <c r="FS12" s="183"/>
      <c r="FT12" s="184"/>
      <c r="FU12" s="184"/>
      <c r="FV12" s="184"/>
      <c r="FW12" s="184"/>
      <c r="FX12" s="184"/>
      <c r="FY12" s="182"/>
      <c r="FZ12" s="181"/>
      <c r="GA12" s="182"/>
      <c r="GB12" s="183"/>
      <c r="GC12" s="184"/>
      <c r="GD12" s="184"/>
      <c r="GE12" s="184"/>
      <c r="GF12" s="184"/>
      <c r="GG12" s="184"/>
      <c r="GH12" s="182"/>
      <c r="GI12" s="181"/>
      <c r="GJ12" s="182"/>
      <c r="GK12" s="183"/>
      <c r="GL12" s="184"/>
      <c r="GM12" s="184"/>
      <c r="GN12" s="184"/>
      <c r="GO12" s="184"/>
      <c r="GP12" s="184"/>
      <c r="GQ12" s="182"/>
      <c r="GR12" s="181"/>
      <c r="GS12" s="182"/>
      <c r="GT12" s="183"/>
      <c r="GU12" s="184"/>
      <c r="GV12" s="184"/>
      <c r="GW12" s="184"/>
      <c r="GX12" s="184"/>
      <c r="GY12" s="184"/>
      <c r="GZ12" s="182"/>
      <c r="HA12" s="181"/>
      <c r="HB12" s="182"/>
      <c r="HC12" s="183"/>
      <c r="HD12" s="184"/>
      <c r="HE12" s="184"/>
      <c r="HF12" s="184"/>
      <c r="HG12" s="184"/>
      <c r="HH12" s="184"/>
      <c r="HI12" s="182"/>
      <c r="HJ12" s="181"/>
      <c r="HK12" s="182"/>
      <c r="HL12" s="183"/>
      <c r="HM12" s="184"/>
      <c r="HN12" s="184"/>
      <c r="HO12" s="184"/>
      <c r="HP12" s="184"/>
      <c r="HQ12" s="184"/>
      <c r="HR12" s="182"/>
      <c r="HS12" s="181"/>
      <c r="HT12" s="182"/>
      <c r="HU12" s="183"/>
      <c r="HV12" s="184"/>
      <c r="HW12" s="184"/>
      <c r="HX12" s="184"/>
      <c r="HY12" s="184"/>
      <c r="HZ12" s="184"/>
      <c r="IA12" s="182"/>
      <c r="IB12" s="181"/>
      <c r="IC12" s="182"/>
      <c r="ID12" s="183"/>
      <c r="IE12" s="184"/>
      <c r="IF12" s="184"/>
      <c r="IG12" s="184"/>
      <c r="IH12" s="184"/>
      <c r="II12" s="184"/>
      <c r="IJ12" s="182"/>
      <c r="IK12" s="181"/>
      <c r="IL12" s="182"/>
      <c r="IM12" s="183"/>
      <c r="IN12" s="184"/>
      <c r="IO12" s="184"/>
      <c r="IP12" s="184"/>
      <c r="IQ12" s="184"/>
      <c r="IR12" s="184"/>
      <c r="IS12" s="182"/>
      <c r="IT12" s="181"/>
      <c r="IU12" s="182"/>
      <c r="IV12" s="183"/>
    </row>
    <row r="13" spans="1:10" ht="15.75">
      <c r="A13" s="158"/>
      <c r="B13" s="159"/>
      <c r="C13" s="160">
        <v>81</v>
      </c>
      <c r="D13" s="685" t="s">
        <v>376</v>
      </c>
      <c r="E13" s="161">
        <f>SUM(E9)</f>
        <v>0</v>
      </c>
      <c r="F13" s="161">
        <f>SUM(F9)</f>
        <v>0</v>
      </c>
      <c r="G13" s="161">
        <f>SUM(G9)</f>
        <v>0</v>
      </c>
      <c r="H13" s="162">
        <f>SUM(H9)</f>
        <v>0</v>
      </c>
      <c r="I13" s="185">
        <v>0</v>
      </c>
      <c r="J13" s="185">
        <v>0</v>
      </c>
    </row>
    <row r="14" spans="1:10" ht="15.75">
      <c r="A14" s="140">
        <v>5</v>
      </c>
      <c r="B14" s="163"/>
      <c r="C14" s="164"/>
      <c r="D14" s="165" t="s">
        <v>377</v>
      </c>
      <c r="E14" s="166">
        <f>SUM(E15)</f>
        <v>0</v>
      </c>
      <c r="F14" s="166">
        <f>SUM(F15)</f>
        <v>0</v>
      </c>
      <c r="G14" s="166">
        <f>SUM(G15)</f>
        <v>0</v>
      </c>
      <c r="H14" s="167">
        <f>SUM(H15)</f>
        <v>0</v>
      </c>
      <c r="I14" s="180">
        <v>0</v>
      </c>
      <c r="J14" s="180">
        <v>0</v>
      </c>
    </row>
    <row r="15" spans="1:10" s="126" customFormat="1" ht="15.75">
      <c r="A15" s="168"/>
      <c r="B15" s="168">
        <v>54</v>
      </c>
      <c r="C15" s="164"/>
      <c r="D15" s="165" t="s">
        <v>378</v>
      </c>
      <c r="E15" s="166">
        <f>SUM(E16)</f>
        <v>0</v>
      </c>
      <c r="F15" s="166">
        <v>0</v>
      </c>
      <c r="G15" s="166">
        <f>SUM(G16)</f>
        <v>0</v>
      </c>
      <c r="H15" s="167">
        <f>SUM(H16)</f>
        <v>0</v>
      </c>
      <c r="I15" s="180">
        <v>0</v>
      </c>
      <c r="J15" s="180">
        <v>0</v>
      </c>
    </row>
    <row r="16" spans="1:10" s="126" customFormat="1" ht="31.5">
      <c r="A16" s="168"/>
      <c r="B16" s="168" t="s">
        <v>379</v>
      </c>
      <c r="C16" s="164"/>
      <c r="D16" s="169" t="s">
        <v>380</v>
      </c>
      <c r="E16" s="166">
        <f>SUM(E17)</f>
        <v>0</v>
      </c>
      <c r="F16" s="166">
        <f>SUM(F17)</f>
        <v>0</v>
      </c>
      <c r="G16" s="166">
        <f>SUM(G17)</f>
        <v>0</v>
      </c>
      <c r="H16" s="167">
        <f>SUM(H17)</f>
        <v>0</v>
      </c>
      <c r="I16" s="180">
        <v>0</v>
      </c>
      <c r="J16" s="180">
        <v>0</v>
      </c>
    </row>
    <row r="17" spans="1:10" ht="31.5">
      <c r="A17" s="170"/>
      <c r="B17" s="170" t="s">
        <v>381</v>
      </c>
      <c r="C17" s="171"/>
      <c r="D17" s="172" t="s">
        <v>382</v>
      </c>
      <c r="E17" s="173">
        <v>0</v>
      </c>
      <c r="F17" s="173">
        <v>0</v>
      </c>
      <c r="G17" s="174">
        <v>0</v>
      </c>
      <c r="H17" s="175">
        <v>0</v>
      </c>
      <c r="I17" s="186">
        <v>0</v>
      </c>
      <c r="J17" s="186">
        <v>0</v>
      </c>
    </row>
    <row r="18" spans="1:10" s="127" customFormat="1" ht="15.75">
      <c r="A18" s="158"/>
      <c r="B18" s="159"/>
      <c r="C18" s="160">
        <v>11</v>
      </c>
      <c r="D18" s="685" t="s">
        <v>115</v>
      </c>
      <c r="E18" s="161">
        <f>SUM(E14)</f>
        <v>0</v>
      </c>
      <c r="F18" s="161">
        <f>SUM(F14)</f>
        <v>0</v>
      </c>
      <c r="G18" s="161">
        <f>SUM(G14)</f>
        <v>0</v>
      </c>
      <c r="H18" s="162">
        <f>SUM(H14)</f>
        <v>0</v>
      </c>
      <c r="I18" s="185">
        <v>0</v>
      </c>
      <c r="J18" s="185">
        <v>0</v>
      </c>
    </row>
  </sheetData>
  <sheetProtection/>
  <mergeCells count="4">
    <mergeCell ref="A1:J1"/>
    <mergeCell ref="A2:J2"/>
    <mergeCell ref="A4:J4"/>
    <mergeCell ref="A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4"/>
  <sheetViews>
    <sheetView zoomScaleSheetLayoutView="100" workbookViewId="0" topLeftCell="A1">
      <selection activeCell="M10" sqref="M10"/>
    </sheetView>
  </sheetViews>
  <sheetFormatPr defaultColWidth="9.140625" defaultRowHeight="15"/>
  <cols>
    <col min="1" max="1" width="16.140625" style="0" customWidth="1"/>
    <col min="2" max="2" width="61.28125" style="0" customWidth="1"/>
    <col min="3" max="3" width="22.8515625" style="0" customWidth="1"/>
    <col min="4" max="4" width="23.00390625" style="0" customWidth="1"/>
    <col min="5" max="5" width="23.57421875" style="0" customWidth="1"/>
    <col min="6" max="6" width="23.421875" style="0" customWidth="1"/>
  </cols>
  <sheetData>
    <row r="1" spans="1:6" ht="15.75">
      <c r="A1" s="753" t="s">
        <v>383</v>
      </c>
      <c r="B1" s="753"/>
      <c r="C1" s="753"/>
      <c r="D1" s="753"/>
      <c r="E1" s="753"/>
      <c r="F1" s="753"/>
    </row>
    <row r="2" spans="1:6" ht="15.75">
      <c r="A2" s="753" t="s">
        <v>384</v>
      </c>
      <c r="B2" s="753"/>
      <c r="C2" s="753"/>
      <c r="D2" s="753"/>
      <c r="E2" s="753"/>
      <c r="F2" s="753"/>
    </row>
    <row r="3" spans="1:6" ht="15.75">
      <c r="A3" s="1"/>
      <c r="B3" s="1"/>
      <c r="C3" s="1"/>
      <c r="D3" s="2"/>
      <c r="E3" s="3"/>
      <c r="F3" s="3"/>
    </row>
    <row r="4" spans="1:6" ht="60" customHeight="1">
      <c r="A4" s="4" t="s">
        <v>385</v>
      </c>
      <c r="B4" s="4" t="s">
        <v>386</v>
      </c>
      <c r="C4" s="5" t="s">
        <v>387</v>
      </c>
      <c r="D4" s="6" t="s">
        <v>388</v>
      </c>
      <c r="E4" s="7" t="s">
        <v>389</v>
      </c>
      <c r="F4" s="5" t="s">
        <v>40</v>
      </c>
    </row>
    <row r="5" spans="1:6" ht="29.25" customHeight="1">
      <c r="A5" s="8" t="s">
        <v>390</v>
      </c>
      <c r="B5" s="9" t="s">
        <v>391</v>
      </c>
      <c r="C5" s="10">
        <f>C6+C275+C322+C341+C363</f>
        <v>9418195.368</v>
      </c>
      <c r="D5" s="10">
        <f>D6+D275+D322+D341</f>
        <v>9115800.65</v>
      </c>
      <c r="E5" s="10">
        <f>E6+E275+E322+E341</f>
        <v>9982817.86</v>
      </c>
      <c r="F5" s="10">
        <f>F6+F275+F322+F341</f>
        <v>10014093.5</v>
      </c>
    </row>
    <row r="6" spans="1:6" ht="31.5" customHeight="1">
      <c r="A6" s="11" t="s">
        <v>392</v>
      </c>
      <c r="B6" s="12" t="s">
        <v>393</v>
      </c>
      <c r="C6" s="13">
        <f>C7+C97+C175+C222+C244</f>
        <v>8905358.14</v>
      </c>
      <c r="D6" s="13">
        <f>D7+D97+D175+D203+D222+D244</f>
        <v>8468359.94</v>
      </c>
      <c r="E6" s="13">
        <f>E7+E97+E175+E203+E222+E244</f>
        <v>9341379.42</v>
      </c>
      <c r="F6" s="13">
        <f>F7+F97+F175+F203+F222+F244</f>
        <v>9398912.56</v>
      </c>
    </row>
    <row r="7" spans="1:6" ht="20.25" customHeight="1">
      <c r="A7" s="14">
        <v>43</v>
      </c>
      <c r="B7" s="15" t="s">
        <v>86</v>
      </c>
      <c r="C7" s="16">
        <f>C8+C74</f>
        <v>6741502.21</v>
      </c>
      <c r="D7" s="16">
        <f>D8+D74</f>
        <v>6470236.91</v>
      </c>
      <c r="E7" s="16">
        <f>E8+E74</f>
        <v>7043000</v>
      </c>
      <c r="F7" s="16">
        <f>F8</f>
        <v>7048834.22</v>
      </c>
    </row>
    <row r="8" spans="1:6" ht="15.75">
      <c r="A8" s="17">
        <v>3</v>
      </c>
      <c r="B8" s="18" t="s">
        <v>122</v>
      </c>
      <c r="C8" s="19">
        <f>C9+C21+C54+C66</f>
        <v>6741502.21</v>
      </c>
      <c r="D8" s="19">
        <f>D9+D21+D54+D60+D66</f>
        <v>6470236.91</v>
      </c>
      <c r="E8" s="19">
        <f>E9+E21+E54+E60+E63+E66</f>
        <v>7043000</v>
      </c>
      <c r="F8" s="19">
        <f>F9+F21+F54+F60+F63+F66</f>
        <v>7048834.22</v>
      </c>
    </row>
    <row r="9" spans="1:6" ht="15">
      <c r="A9" s="20">
        <v>31</v>
      </c>
      <c r="B9" s="21" t="s">
        <v>123</v>
      </c>
      <c r="C9" s="22">
        <f>C10+C15+C17</f>
        <v>3661654.1799999997</v>
      </c>
      <c r="D9" s="22">
        <f>D10+D15+D17</f>
        <v>4032649.8099999996</v>
      </c>
      <c r="E9" s="22">
        <f>E10+E15+E17</f>
        <v>4808227</v>
      </c>
      <c r="F9" s="22">
        <f>F10+F15+F17</f>
        <v>4792113.819999999</v>
      </c>
    </row>
    <row r="10" spans="1:6" ht="15">
      <c r="A10" s="23">
        <v>311</v>
      </c>
      <c r="B10" s="24" t="s">
        <v>124</v>
      </c>
      <c r="C10" s="25">
        <f>SUM(C11:C14)</f>
        <v>2225712.42</v>
      </c>
      <c r="D10" s="25">
        <f>SUM(D11:D14)</f>
        <v>2665604.88</v>
      </c>
      <c r="E10" s="25">
        <f>SUM(E11:E14)</f>
        <v>4024175</v>
      </c>
      <c r="F10" s="25">
        <f>F11+F13+F14</f>
        <v>3972805.78</v>
      </c>
    </row>
    <row r="11" spans="1:6" ht="15">
      <c r="A11" s="26">
        <v>3111</v>
      </c>
      <c r="B11" s="27" t="s">
        <v>125</v>
      </c>
      <c r="C11" s="28">
        <v>1935137.08</v>
      </c>
      <c r="D11" s="28">
        <v>2665604.88</v>
      </c>
      <c r="E11" s="28">
        <v>3579175</v>
      </c>
      <c r="F11" s="29">
        <v>3537065.52</v>
      </c>
    </row>
    <row r="12" spans="1:6" ht="15">
      <c r="A12" s="26" t="s">
        <v>126</v>
      </c>
      <c r="B12" s="27" t="s">
        <v>127</v>
      </c>
      <c r="C12" s="28"/>
      <c r="D12" s="28"/>
      <c r="E12" s="30">
        <v>0</v>
      </c>
      <c r="F12" s="29"/>
    </row>
    <row r="13" spans="1:6" ht="15">
      <c r="A13" s="26" t="s">
        <v>128</v>
      </c>
      <c r="B13" s="27" t="s">
        <v>129</v>
      </c>
      <c r="C13" s="28"/>
      <c r="D13" s="28"/>
      <c r="E13" s="28">
        <v>55000</v>
      </c>
      <c r="F13" s="29">
        <v>48787.34</v>
      </c>
    </row>
    <row r="14" spans="1:6" ht="15">
      <c r="A14" s="26" t="s">
        <v>130</v>
      </c>
      <c r="B14" s="27" t="s">
        <v>246</v>
      </c>
      <c r="C14" s="28">
        <v>290575.34</v>
      </c>
      <c r="D14" s="31"/>
      <c r="E14" s="31">
        <v>390000</v>
      </c>
      <c r="F14" s="29">
        <v>386952.92</v>
      </c>
    </row>
    <row r="15" spans="1:6" ht="15">
      <c r="A15" s="23" t="s">
        <v>132</v>
      </c>
      <c r="B15" s="24" t="s">
        <v>133</v>
      </c>
      <c r="C15" s="32">
        <f>C16</f>
        <v>184786.78</v>
      </c>
      <c r="D15" s="32">
        <f>D16</f>
        <v>172539.65</v>
      </c>
      <c r="E15" s="32">
        <f>E16</f>
        <v>208000</v>
      </c>
      <c r="F15" s="25">
        <f>F16</f>
        <v>228189.44</v>
      </c>
    </row>
    <row r="16" spans="1:6" ht="15">
      <c r="A16" s="26" t="s">
        <v>134</v>
      </c>
      <c r="B16" s="27" t="s">
        <v>133</v>
      </c>
      <c r="C16" s="28">
        <v>184786.78</v>
      </c>
      <c r="D16" s="28">
        <v>172539.65</v>
      </c>
      <c r="E16" s="28">
        <v>208000</v>
      </c>
      <c r="F16" s="29">
        <v>228189.44</v>
      </c>
    </row>
    <row r="17" spans="1:6" ht="15">
      <c r="A17" s="33" t="s">
        <v>247</v>
      </c>
      <c r="B17" s="24" t="s">
        <v>135</v>
      </c>
      <c r="C17" s="34">
        <f>C18+C19</f>
        <v>1251154.98</v>
      </c>
      <c r="D17" s="34">
        <f>D18+D19+D20</f>
        <v>1194505.28</v>
      </c>
      <c r="E17" s="34">
        <f>E18+E19+E20</f>
        <v>576052</v>
      </c>
      <c r="F17" s="35">
        <f>F18+F19+F20</f>
        <v>591118.6</v>
      </c>
    </row>
    <row r="18" spans="1:6" ht="15">
      <c r="A18" s="36" t="s">
        <v>260</v>
      </c>
      <c r="B18" s="27" t="s">
        <v>394</v>
      </c>
      <c r="C18" s="28">
        <v>730718.73</v>
      </c>
      <c r="D18" s="28">
        <v>663614.04</v>
      </c>
      <c r="E18" s="28"/>
      <c r="F18" s="37"/>
    </row>
    <row r="19" spans="1:6" ht="15">
      <c r="A19" s="36" t="s">
        <v>248</v>
      </c>
      <c r="B19" s="27" t="s">
        <v>136</v>
      </c>
      <c r="C19" s="38">
        <v>520436.25</v>
      </c>
      <c r="D19" s="38">
        <v>530891.24</v>
      </c>
      <c r="E19" s="39">
        <v>576000</v>
      </c>
      <c r="F19" s="38">
        <v>591048.44</v>
      </c>
    </row>
    <row r="20" spans="1:6" ht="15">
      <c r="A20" s="36" t="s">
        <v>338</v>
      </c>
      <c r="B20" s="27" t="s">
        <v>339</v>
      </c>
      <c r="C20" s="38"/>
      <c r="D20" s="38">
        <v>0</v>
      </c>
      <c r="E20" s="39">
        <v>52</v>
      </c>
      <c r="F20" s="38">
        <v>70.16</v>
      </c>
    </row>
    <row r="21" spans="1:6" ht="15">
      <c r="A21" s="20">
        <v>32</v>
      </c>
      <c r="B21" s="21" t="s">
        <v>137</v>
      </c>
      <c r="C21" s="22">
        <f>C22+C27+C34+C44+C46</f>
        <v>3048283.4000000004</v>
      </c>
      <c r="D21" s="22">
        <f>D22+D27+D34+D44+D46</f>
        <v>2403079.17</v>
      </c>
      <c r="E21" s="22">
        <f>E22+E27+E34+E44+E46</f>
        <v>2213773</v>
      </c>
      <c r="F21" s="22">
        <f>F22+F27+F34+F44+F46</f>
        <v>2238178.3000000003</v>
      </c>
    </row>
    <row r="22" spans="1:6" ht="15">
      <c r="A22" s="23">
        <v>321</v>
      </c>
      <c r="B22" s="24" t="s">
        <v>138</v>
      </c>
      <c r="C22" s="25">
        <f>SUM(C23:C26)</f>
        <v>198721.46</v>
      </c>
      <c r="D22" s="25">
        <f>SUM(D23:D26)</f>
        <v>217001.79</v>
      </c>
      <c r="E22" s="25">
        <f>SUM(E23:E26)</f>
        <v>165900</v>
      </c>
      <c r="F22" s="25">
        <f>F23+F24+F25+F26</f>
        <v>170643.1</v>
      </c>
    </row>
    <row r="23" spans="1:6" ht="15">
      <c r="A23" s="26" t="s">
        <v>139</v>
      </c>
      <c r="B23" s="27" t="s">
        <v>140</v>
      </c>
      <c r="C23" s="28">
        <v>21724.66</v>
      </c>
      <c r="D23" s="28">
        <v>9290.6</v>
      </c>
      <c r="E23" s="28">
        <v>6800</v>
      </c>
      <c r="F23" s="29">
        <v>8921.92</v>
      </c>
    </row>
    <row r="24" spans="1:6" ht="21" customHeight="1">
      <c r="A24" s="26" t="s">
        <v>141</v>
      </c>
      <c r="B24" s="40" t="s">
        <v>142</v>
      </c>
      <c r="C24" s="28">
        <v>166434.96</v>
      </c>
      <c r="D24" s="28">
        <v>199084.21</v>
      </c>
      <c r="E24" s="28">
        <v>149000</v>
      </c>
      <c r="F24" s="29">
        <v>151468.78</v>
      </c>
    </row>
    <row r="25" spans="1:6" ht="23.25" customHeight="1">
      <c r="A25" s="26" t="s">
        <v>143</v>
      </c>
      <c r="B25" s="40" t="s">
        <v>144</v>
      </c>
      <c r="C25" s="28">
        <v>10561.84</v>
      </c>
      <c r="D25" s="28">
        <v>8626.98</v>
      </c>
      <c r="E25" s="28">
        <v>10100</v>
      </c>
      <c r="F25" s="29">
        <v>10252.4</v>
      </c>
    </row>
    <row r="26" spans="1:6" ht="24" customHeight="1">
      <c r="A26" s="26" t="s">
        <v>145</v>
      </c>
      <c r="B26" s="40" t="s">
        <v>146</v>
      </c>
      <c r="C26" s="28"/>
      <c r="D26" s="28"/>
      <c r="E26" s="28"/>
      <c r="F26" s="29">
        <v>0</v>
      </c>
    </row>
    <row r="27" spans="1:6" ht="22.5" customHeight="1">
      <c r="A27" s="23" t="s">
        <v>147</v>
      </c>
      <c r="B27" s="41" t="s">
        <v>148</v>
      </c>
      <c r="C27" s="25">
        <f>SUM(C28:C33)</f>
        <v>2589302.0300000003</v>
      </c>
      <c r="D27" s="25">
        <f>SUM(D28:D33)</f>
        <v>1938175.0599999998</v>
      </c>
      <c r="E27" s="32">
        <f>SUM(E28:E33)</f>
        <v>1760873</v>
      </c>
      <c r="F27" s="25">
        <f>F28+F29+F30+F31+F32+F33</f>
        <v>1777903.8599999999</v>
      </c>
    </row>
    <row r="28" spans="1:6" ht="15">
      <c r="A28" s="26" t="s">
        <v>149</v>
      </c>
      <c r="B28" s="27" t="s">
        <v>150</v>
      </c>
      <c r="C28" s="28">
        <v>70778.33</v>
      </c>
      <c r="D28" s="28">
        <v>46452.98</v>
      </c>
      <c r="E28" s="28">
        <v>69925</v>
      </c>
      <c r="F28" s="29">
        <v>69196.96</v>
      </c>
    </row>
    <row r="29" spans="1:6" ht="15">
      <c r="A29" s="26" t="s">
        <v>151</v>
      </c>
      <c r="B29" s="27" t="s">
        <v>152</v>
      </c>
      <c r="C29" s="28">
        <v>2326763.72</v>
      </c>
      <c r="D29" s="28">
        <v>1741745.3</v>
      </c>
      <c r="E29" s="28">
        <v>1564743.17</v>
      </c>
      <c r="F29" s="29">
        <v>1598119.91</v>
      </c>
    </row>
    <row r="30" spans="1:6" ht="15">
      <c r="A30" s="26" t="s">
        <v>153</v>
      </c>
      <c r="B30" s="27" t="s">
        <v>154</v>
      </c>
      <c r="C30" s="28">
        <v>176322.12</v>
      </c>
      <c r="D30" s="28">
        <v>123432.21</v>
      </c>
      <c r="E30" s="28">
        <v>96966</v>
      </c>
      <c r="F30" s="29">
        <v>88026.45</v>
      </c>
    </row>
    <row r="31" spans="1:6" ht="17.25" customHeight="1">
      <c r="A31" s="26" t="s">
        <v>155</v>
      </c>
      <c r="B31" s="40" t="s">
        <v>156</v>
      </c>
      <c r="C31" s="28">
        <v>829.11</v>
      </c>
      <c r="D31" s="28">
        <v>6636.14</v>
      </c>
      <c r="E31" s="28">
        <v>5238.83</v>
      </c>
      <c r="F31" s="29">
        <v>2911.22</v>
      </c>
    </row>
    <row r="32" spans="1:6" ht="18" customHeight="1">
      <c r="A32" s="26" t="s">
        <v>157</v>
      </c>
      <c r="B32" s="40" t="s">
        <v>158</v>
      </c>
      <c r="C32" s="31">
        <v>10918.71</v>
      </c>
      <c r="D32" s="28">
        <v>13272.29</v>
      </c>
      <c r="E32" s="28">
        <v>13000</v>
      </c>
      <c r="F32" s="29">
        <v>9414.24</v>
      </c>
    </row>
    <row r="33" spans="1:6" ht="18" customHeight="1">
      <c r="A33" s="26" t="s">
        <v>159</v>
      </c>
      <c r="B33" s="40" t="s">
        <v>160</v>
      </c>
      <c r="C33" s="28">
        <v>3690.04</v>
      </c>
      <c r="D33" s="28">
        <v>6636.14</v>
      </c>
      <c r="E33" s="28">
        <v>11000</v>
      </c>
      <c r="F33" s="29">
        <v>10235.08</v>
      </c>
    </row>
    <row r="34" spans="1:6" ht="15.75" customHeight="1">
      <c r="A34" s="23" t="s">
        <v>161</v>
      </c>
      <c r="B34" s="41" t="s">
        <v>162</v>
      </c>
      <c r="C34" s="25">
        <f>SUM(C35:C43)</f>
        <v>198800.68000000002</v>
      </c>
      <c r="D34" s="25">
        <f>SUM(D35:D43)</f>
        <v>210739.93</v>
      </c>
      <c r="E34" s="32">
        <f>SUM(E35:E43)</f>
        <v>236000</v>
      </c>
      <c r="F34" s="25">
        <f>F35+F36+F37+F38+F39+F40+F41+F42+F43</f>
        <v>249616.10000000003</v>
      </c>
    </row>
    <row r="35" spans="1:6" ht="16.5" customHeight="1">
      <c r="A35" s="26" t="s">
        <v>163</v>
      </c>
      <c r="B35" s="40" t="s">
        <v>164</v>
      </c>
      <c r="C35" s="28">
        <v>33387.9</v>
      </c>
      <c r="D35" s="28">
        <v>33180.7</v>
      </c>
      <c r="E35" s="28">
        <v>34000</v>
      </c>
      <c r="F35" s="29">
        <v>36388.49</v>
      </c>
    </row>
    <row r="36" spans="1:6" ht="13.5" customHeight="1">
      <c r="A36" s="26" t="s">
        <v>165</v>
      </c>
      <c r="B36" s="40" t="s">
        <v>166</v>
      </c>
      <c r="C36" s="28"/>
      <c r="D36" s="28">
        <v>0</v>
      </c>
      <c r="E36" s="28"/>
      <c r="F36" s="29">
        <v>18261.01</v>
      </c>
    </row>
    <row r="37" spans="1:6" ht="15.75" customHeight="1">
      <c r="A37" s="26" t="s">
        <v>167</v>
      </c>
      <c r="B37" s="40" t="s">
        <v>168</v>
      </c>
      <c r="C37" s="28">
        <v>414.76</v>
      </c>
      <c r="D37" s="28">
        <v>2654.46</v>
      </c>
      <c r="E37" s="28">
        <v>5000</v>
      </c>
      <c r="F37" s="29">
        <v>5417.62</v>
      </c>
    </row>
    <row r="38" spans="1:6" ht="15">
      <c r="A38" s="42" t="s">
        <v>169</v>
      </c>
      <c r="B38" s="43" t="s">
        <v>170</v>
      </c>
      <c r="C38" s="28">
        <v>45134.8</v>
      </c>
      <c r="D38" s="28">
        <v>45125.75</v>
      </c>
      <c r="E38" s="28">
        <v>61000</v>
      </c>
      <c r="F38" s="29">
        <v>61425.55</v>
      </c>
    </row>
    <row r="39" spans="1:6" ht="15">
      <c r="A39" s="42">
        <v>3235</v>
      </c>
      <c r="B39" s="43" t="s">
        <v>171</v>
      </c>
      <c r="C39" s="28">
        <v>25103.14</v>
      </c>
      <c r="D39" s="28">
        <v>33180.7</v>
      </c>
      <c r="E39" s="28">
        <v>30000</v>
      </c>
      <c r="F39" s="29">
        <v>23898.21</v>
      </c>
    </row>
    <row r="40" spans="1:6" ht="15">
      <c r="A40" s="42">
        <v>3236</v>
      </c>
      <c r="B40" s="43" t="s">
        <v>172</v>
      </c>
      <c r="C40" s="28">
        <v>11514.81</v>
      </c>
      <c r="D40" s="28">
        <v>30128.08</v>
      </c>
      <c r="E40" s="28">
        <v>22000</v>
      </c>
      <c r="F40" s="29">
        <v>24496.01</v>
      </c>
    </row>
    <row r="41" spans="1:6" ht="15">
      <c r="A41" s="42">
        <v>3237</v>
      </c>
      <c r="B41" s="43" t="s">
        <v>395</v>
      </c>
      <c r="C41" s="28">
        <v>65018.23</v>
      </c>
      <c r="D41" s="28">
        <v>26544.56</v>
      </c>
      <c r="E41" s="28">
        <v>45000</v>
      </c>
      <c r="F41" s="29">
        <v>43521.48</v>
      </c>
    </row>
    <row r="42" spans="1:6" ht="15">
      <c r="A42" s="42" t="s">
        <v>174</v>
      </c>
      <c r="B42" s="43" t="s">
        <v>175</v>
      </c>
      <c r="C42" s="31">
        <v>282.04</v>
      </c>
      <c r="D42" s="28">
        <v>1659.04</v>
      </c>
      <c r="E42" s="28">
        <v>1000</v>
      </c>
      <c r="F42" s="29"/>
    </row>
    <row r="43" spans="1:6" ht="15">
      <c r="A43" s="42" t="s">
        <v>176</v>
      </c>
      <c r="B43" s="43" t="s">
        <v>177</v>
      </c>
      <c r="C43" s="28">
        <v>17945</v>
      </c>
      <c r="D43" s="28">
        <v>38266.64</v>
      </c>
      <c r="E43" s="28">
        <v>38000</v>
      </c>
      <c r="F43" s="29">
        <v>36207.73</v>
      </c>
    </row>
    <row r="44" spans="1:6" ht="16.5" customHeight="1">
      <c r="A44" s="33">
        <v>324</v>
      </c>
      <c r="B44" s="44" t="s">
        <v>178</v>
      </c>
      <c r="C44" s="25">
        <f>C45</f>
        <v>0</v>
      </c>
      <c r="D44" s="25">
        <f>D45</f>
        <v>0</v>
      </c>
      <c r="E44" s="32">
        <f>E45</f>
        <v>0</v>
      </c>
      <c r="F44" s="25">
        <f>F45</f>
        <v>0</v>
      </c>
    </row>
    <row r="45" spans="1:6" ht="14.25" customHeight="1">
      <c r="A45" s="36">
        <v>3241</v>
      </c>
      <c r="B45" s="45" t="s">
        <v>178</v>
      </c>
      <c r="C45" s="28"/>
      <c r="D45" s="28"/>
      <c r="E45" s="28"/>
      <c r="F45" s="29"/>
    </row>
    <row r="46" spans="1:6" ht="15">
      <c r="A46" s="46">
        <v>329</v>
      </c>
      <c r="B46" s="47" t="s">
        <v>179</v>
      </c>
      <c r="C46" s="25">
        <f>SUM(C47:C53)</f>
        <v>61459.23000000001</v>
      </c>
      <c r="D46" s="25">
        <f>SUM(D47:D53)</f>
        <v>37162.39000000001</v>
      </c>
      <c r="E46" s="25">
        <f>SUM(E47:E53)</f>
        <v>51000</v>
      </c>
      <c r="F46" s="25">
        <f>F47+F48+F49+F50+F51+F52+F53</f>
        <v>40015.24</v>
      </c>
    </row>
    <row r="47" spans="1:6" ht="18" customHeight="1">
      <c r="A47" s="42" t="s">
        <v>180</v>
      </c>
      <c r="B47" s="45" t="s">
        <v>181</v>
      </c>
      <c r="C47" s="48">
        <v>5971.75</v>
      </c>
      <c r="D47" s="48">
        <v>6636.14</v>
      </c>
      <c r="E47" s="48">
        <v>7000</v>
      </c>
      <c r="F47" s="29">
        <v>6351.28</v>
      </c>
    </row>
    <row r="48" spans="1:6" ht="15">
      <c r="A48" s="42">
        <v>3292</v>
      </c>
      <c r="B48" s="43" t="s">
        <v>182</v>
      </c>
      <c r="C48" s="31">
        <v>25750.15</v>
      </c>
      <c r="D48" s="31">
        <v>6636.14</v>
      </c>
      <c r="E48" s="31">
        <v>25000</v>
      </c>
      <c r="F48" s="29">
        <v>17005.07</v>
      </c>
    </row>
    <row r="49" spans="1:6" ht="15">
      <c r="A49" s="42">
        <v>3293</v>
      </c>
      <c r="B49" s="43" t="s">
        <v>183</v>
      </c>
      <c r="C49" s="31">
        <v>632.45</v>
      </c>
      <c r="D49" s="31">
        <v>0</v>
      </c>
      <c r="E49" s="31">
        <v>4000</v>
      </c>
      <c r="F49" s="29">
        <v>2132.81</v>
      </c>
    </row>
    <row r="50" spans="1:6" ht="15">
      <c r="A50" s="42">
        <v>3294</v>
      </c>
      <c r="B50" s="43" t="s">
        <v>184</v>
      </c>
      <c r="C50" s="31">
        <v>8095.96</v>
      </c>
      <c r="D50" s="31">
        <v>6636.14</v>
      </c>
      <c r="E50" s="31">
        <v>3500</v>
      </c>
      <c r="F50" s="29">
        <v>3940.97</v>
      </c>
    </row>
    <row r="51" spans="1:6" ht="15">
      <c r="A51" s="49">
        <v>3295</v>
      </c>
      <c r="B51" s="50" t="s">
        <v>185</v>
      </c>
      <c r="C51" s="28">
        <v>12339.47</v>
      </c>
      <c r="D51" s="31">
        <v>13272.28</v>
      </c>
      <c r="E51" s="31">
        <v>11000</v>
      </c>
      <c r="F51" s="29">
        <v>10054.54</v>
      </c>
    </row>
    <row r="52" spans="1:6" ht="15">
      <c r="A52" s="49">
        <v>3296</v>
      </c>
      <c r="B52" s="50" t="s">
        <v>186</v>
      </c>
      <c r="C52" s="31"/>
      <c r="D52" s="31">
        <v>3981.69</v>
      </c>
      <c r="E52" s="31">
        <v>500</v>
      </c>
      <c r="F52" s="29"/>
    </row>
    <row r="53" spans="1:6" ht="15">
      <c r="A53" s="49" t="s">
        <v>187</v>
      </c>
      <c r="B53" s="50" t="s">
        <v>179</v>
      </c>
      <c r="C53" s="31">
        <v>8669.45</v>
      </c>
      <c r="D53" s="28"/>
      <c r="E53" s="28"/>
      <c r="F53" s="29">
        <v>530.57</v>
      </c>
    </row>
    <row r="54" spans="1:6" ht="15">
      <c r="A54" s="20">
        <v>34</v>
      </c>
      <c r="B54" s="21" t="s">
        <v>188</v>
      </c>
      <c r="C54" s="22">
        <f>C55</f>
        <v>31225.22</v>
      </c>
      <c r="D54" s="22">
        <f>D55</f>
        <v>21235.65</v>
      </c>
      <c r="E54" s="22">
        <f>E55</f>
        <v>18000</v>
      </c>
      <c r="F54" s="22">
        <f>F55</f>
        <v>16360.95</v>
      </c>
    </row>
    <row r="55" spans="1:6" ht="15">
      <c r="A55" s="46">
        <v>343</v>
      </c>
      <c r="B55" s="47" t="s">
        <v>189</v>
      </c>
      <c r="C55" s="25">
        <f>SUM(C56:C59)</f>
        <v>31225.22</v>
      </c>
      <c r="D55" s="25">
        <f>SUM(D56:D59)</f>
        <v>21235.65</v>
      </c>
      <c r="E55" s="25">
        <f>SUM(E56:E59)</f>
        <v>18000</v>
      </c>
      <c r="F55" s="25">
        <f>SUM(F56:F59)</f>
        <v>16360.95</v>
      </c>
    </row>
    <row r="56" spans="1:6" ht="15">
      <c r="A56" s="42" t="s">
        <v>190</v>
      </c>
      <c r="B56" s="43" t="s">
        <v>191</v>
      </c>
      <c r="C56" s="28">
        <v>20221.29</v>
      </c>
      <c r="D56" s="28">
        <v>17253.97</v>
      </c>
      <c r="E56" s="28">
        <v>16000</v>
      </c>
      <c r="F56" s="29">
        <v>15048.11</v>
      </c>
    </row>
    <row r="57" spans="1:6" ht="15">
      <c r="A57" s="42">
        <v>3432</v>
      </c>
      <c r="B57" s="43" t="s">
        <v>240</v>
      </c>
      <c r="C57" s="28">
        <v>3.91</v>
      </c>
      <c r="D57" s="28">
        <v>3981.68</v>
      </c>
      <c r="E57" s="28">
        <v>2000</v>
      </c>
      <c r="F57" s="38"/>
    </row>
    <row r="58" spans="1:6" ht="15">
      <c r="A58" s="49">
        <v>3433</v>
      </c>
      <c r="B58" s="50" t="s">
        <v>192</v>
      </c>
      <c r="C58" s="31">
        <v>10952.3</v>
      </c>
      <c r="D58" s="28"/>
      <c r="E58" s="28"/>
      <c r="F58" s="29">
        <v>1312.84</v>
      </c>
    </row>
    <row r="59" spans="1:6" ht="15">
      <c r="A59" s="49">
        <v>3434</v>
      </c>
      <c r="B59" s="50" t="s">
        <v>179</v>
      </c>
      <c r="C59" s="28">
        <v>47.72</v>
      </c>
      <c r="D59" s="28"/>
      <c r="E59" s="28"/>
      <c r="F59" s="38"/>
    </row>
    <row r="60" spans="1:6" ht="16.5" customHeight="1">
      <c r="A60" s="51">
        <v>36</v>
      </c>
      <c r="B60" s="52" t="s">
        <v>326</v>
      </c>
      <c r="C60" s="53">
        <f aca="true" t="shared" si="0" ref="C60:F61">C61</f>
        <v>0</v>
      </c>
      <c r="D60" s="53">
        <f t="shared" si="0"/>
        <v>7963.37</v>
      </c>
      <c r="E60" s="53">
        <f t="shared" si="0"/>
        <v>0</v>
      </c>
      <c r="F60" s="53">
        <f t="shared" si="0"/>
        <v>0</v>
      </c>
    </row>
    <row r="61" spans="1:6" ht="16.5" customHeight="1">
      <c r="A61" s="54">
        <v>369</v>
      </c>
      <c r="B61" s="55" t="s">
        <v>396</v>
      </c>
      <c r="C61" s="34">
        <f t="shared" si="0"/>
        <v>0</v>
      </c>
      <c r="D61" s="34">
        <f t="shared" si="0"/>
        <v>7963.37</v>
      </c>
      <c r="E61" s="34">
        <f t="shared" si="0"/>
        <v>0</v>
      </c>
      <c r="F61" s="34">
        <f t="shared" si="0"/>
        <v>0</v>
      </c>
    </row>
    <row r="62" spans="1:6" ht="15">
      <c r="A62" s="49">
        <v>3692</v>
      </c>
      <c r="B62" s="50" t="s">
        <v>397</v>
      </c>
      <c r="C62" s="28"/>
      <c r="D62" s="28">
        <v>7963.37</v>
      </c>
      <c r="E62" s="31"/>
      <c r="F62" s="28"/>
    </row>
    <row r="63" spans="1:6" ht="15">
      <c r="A63" s="51">
        <v>37</v>
      </c>
      <c r="B63" s="52" t="s">
        <v>398</v>
      </c>
      <c r="C63" s="22">
        <f aca="true" t="shared" si="1" ref="C63:F64">C64</f>
        <v>0</v>
      </c>
      <c r="D63" s="22">
        <f t="shared" si="1"/>
        <v>0</v>
      </c>
      <c r="E63" s="22">
        <f t="shared" si="1"/>
        <v>0</v>
      </c>
      <c r="F63" s="22">
        <f t="shared" si="1"/>
        <v>0</v>
      </c>
    </row>
    <row r="64" spans="1:6" ht="15">
      <c r="A64" s="54">
        <v>372</v>
      </c>
      <c r="B64" s="55" t="s">
        <v>198</v>
      </c>
      <c r="C64" s="25">
        <f t="shared" si="1"/>
        <v>0</v>
      </c>
      <c r="D64" s="25">
        <f t="shared" si="1"/>
        <v>0</v>
      </c>
      <c r="E64" s="25">
        <f t="shared" si="1"/>
        <v>0</v>
      </c>
      <c r="F64" s="25">
        <f t="shared" si="1"/>
        <v>0</v>
      </c>
    </row>
    <row r="65" spans="1:6" ht="15">
      <c r="A65" s="49">
        <v>3721</v>
      </c>
      <c r="B65" s="50" t="s">
        <v>399</v>
      </c>
      <c r="C65" s="28"/>
      <c r="D65" s="28"/>
      <c r="E65" s="38"/>
      <c r="F65" s="29"/>
    </row>
    <row r="66" spans="1:6" ht="15">
      <c r="A66" s="20" t="s">
        <v>200</v>
      </c>
      <c r="B66" s="21" t="s">
        <v>133</v>
      </c>
      <c r="C66" s="22">
        <f>C67+C69</f>
        <v>339.41</v>
      </c>
      <c r="D66" s="22">
        <f>D67+D69</f>
        <v>5308.91</v>
      </c>
      <c r="E66" s="22">
        <f>E67+E69</f>
        <v>3000</v>
      </c>
      <c r="F66" s="22">
        <f>F67+F69</f>
        <v>2181.15</v>
      </c>
    </row>
    <row r="67" spans="1:6" ht="15">
      <c r="A67" s="23" t="s">
        <v>201</v>
      </c>
      <c r="B67" s="56" t="s">
        <v>202</v>
      </c>
      <c r="C67" s="25">
        <f>C68</f>
        <v>0</v>
      </c>
      <c r="D67" s="25">
        <f>D68</f>
        <v>0</v>
      </c>
      <c r="E67" s="32">
        <f>E68</f>
        <v>0</v>
      </c>
      <c r="F67" s="25">
        <f>F68</f>
        <v>0</v>
      </c>
    </row>
    <row r="68" spans="1:6" ht="15">
      <c r="A68" s="26" t="s">
        <v>203</v>
      </c>
      <c r="B68" s="57" t="s">
        <v>202</v>
      </c>
      <c r="C68" s="28"/>
      <c r="D68" s="28"/>
      <c r="E68" s="28"/>
      <c r="F68" s="58"/>
    </row>
    <row r="69" spans="1:6" ht="15">
      <c r="A69" s="54">
        <v>383</v>
      </c>
      <c r="B69" s="55" t="s">
        <v>204</v>
      </c>
      <c r="C69" s="25">
        <f>SUM(C70:C73)</f>
        <v>339.41</v>
      </c>
      <c r="D69" s="25">
        <f>SUM(D70:D73)</f>
        <v>5308.91</v>
      </c>
      <c r="E69" s="32">
        <f>SUM(E70:E73)</f>
        <v>3000</v>
      </c>
      <c r="F69" s="25">
        <f>SUM(F70:F73)</f>
        <v>2181.15</v>
      </c>
    </row>
    <row r="70" spans="1:6" ht="15">
      <c r="A70" s="49">
        <v>3831</v>
      </c>
      <c r="B70" s="50" t="s">
        <v>400</v>
      </c>
      <c r="C70" s="31"/>
      <c r="D70" s="31"/>
      <c r="E70" s="39"/>
      <c r="F70" s="29"/>
    </row>
    <row r="71" spans="1:6" ht="15">
      <c r="A71" s="49">
        <v>3833</v>
      </c>
      <c r="B71" s="50" t="s">
        <v>206</v>
      </c>
      <c r="C71" s="31"/>
      <c r="D71" s="31"/>
      <c r="E71" s="31"/>
      <c r="F71" s="29"/>
    </row>
    <row r="72" spans="1:6" ht="15">
      <c r="A72" s="49">
        <v>3834</v>
      </c>
      <c r="B72" s="50" t="s">
        <v>207</v>
      </c>
      <c r="C72" s="31">
        <v>339.41</v>
      </c>
      <c r="D72" s="31">
        <v>5308.91</v>
      </c>
      <c r="E72" s="31">
        <v>3000</v>
      </c>
      <c r="F72" s="29">
        <v>2181.15</v>
      </c>
    </row>
    <row r="73" spans="1:6" ht="15">
      <c r="A73" s="49">
        <v>3835</v>
      </c>
      <c r="B73" s="50" t="s">
        <v>208</v>
      </c>
      <c r="C73" s="28"/>
      <c r="D73" s="28"/>
      <c r="E73" s="38"/>
      <c r="F73" s="29"/>
    </row>
    <row r="74" spans="1:6" ht="15">
      <c r="A74" s="59">
        <v>4</v>
      </c>
      <c r="B74" s="60" t="s">
        <v>209</v>
      </c>
      <c r="C74" s="61">
        <f>C75+C80+C92</f>
        <v>0</v>
      </c>
      <c r="D74" s="61">
        <f>D75+D80+D92</f>
        <v>0</v>
      </c>
      <c r="E74" s="61">
        <f>E75+E80+E92</f>
        <v>0</v>
      </c>
      <c r="F74" s="61">
        <f>F75+F80+F92</f>
        <v>0</v>
      </c>
    </row>
    <row r="75" spans="1:6" ht="17.25" customHeight="1">
      <c r="A75" s="20" t="s">
        <v>210</v>
      </c>
      <c r="B75" s="62" t="s">
        <v>211</v>
      </c>
      <c r="C75" s="22">
        <f>C76+C78</f>
        <v>0</v>
      </c>
      <c r="D75" s="22">
        <f>D76+D78</f>
        <v>0</v>
      </c>
      <c r="E75" s="22">
        <f>E76</f>
        <v>0</v>
      </c>
      <c r="F75" s="22">
        <f>F78+F76</f>
        <v>0</v>
      </c>
    </row>
    <row r="76" spans="1:6" ht="20.25" customHeight="1">
      <c r="A76" s="63" t="s">
        <v>212</v>
      </c>
      <c r="B76" s="64" t="s">
        <v>213</v>
      </c>
      <c r="C76" s="32">
        <f>C77</f>
        <v>0</v>
      </c>
      <c r="D76" s="32">
        <f>D77</f>
        <v>0</v>
      </c>
      <c r="E76" s="32">
        <f>E77</f>
        <v>0</v>
      </c>
      <c r="F76" s="65">
        <v>0</v>
      </c>
    </row>
    <row r="77" spans="1:6" ht="15" customHeight="1">
      <c r="A77" s="66" t="s">
        <v>214</v>
      </c>
      <c r="B77" s="67" t="s">
        <v>215</v>
      </c>
      <c r="C77" s="39"/>
      <c r="D77" s="39"/>
      <c r="E77" s="31"/>
      <c r="F77" s="39"/>
    </row>
    <row r="78" spans="1:6" ht="15">
      <c r="A78" s="46">
        <v>412</v>
      </c>
      <c r="B78" s="68" t="s">
        <v>216</v>
      </c>
      <c r="C78" s="65">
        <f>C79</f>
        <v>0</v>
      </c>
      <c r="D78" s="65">
        <f>D79</f>
        <v>0</v>
      </c>
      <c r="E78" s="65">
        <f>E79</f>
        <v>0</v>
      </c>
      <c r="F78" s="65">
        <f>F79</f>
        <v>0</v>
      </c>
    </row>
    <row r="79" spans="1:6" ht="15">
      <c r="A79" s="42">
        <v>4123</v>
      </c>
      <c r="B79" s="69" t="s">
        <v>217</v>
      </c>
      <c r="C79" s="31"/>
      <c r="D79" s="31"/>
      <c r="E79" s="38"/>
      <c r="F79" s="38"/>
    </row>
    <row r="80" spans="1:6" ht="15">
      <c r="A80" s="20">
        <v>42</v>
      </c>
      <c r="B80" s="21" t="s">
        <v>218</v>
      </c>
      <c r="C80" s="22">
        <f>C81+C88</f>
        <v>0</v>
      </c>
      <c r="D80" s="22">
        <f>D81+D88</f>
        <v>0</v>
      </c>
      <c r="E80" s="22">
        <f>E81+E88</f>
        <v>0</v>
      </c>
      <c r="F80" s="22">
        <f>F81+F88+F90</f>
        <v>0</v>
      </c>
    </row>
    <row r="81" spans="1:6" ht="15">
      <c r="A81" s="23">
        <v>422</v>
      </c>
      <c r="B81" s="24" t="s">
        <v>219</v>
      </c>
      <c r="C81" s="25">
        <f>SUM(C82:C87)</f>
        <v>0</v>
      </c>
      <c r="D81" s="25">
        <f>SUM(D82:D87)</f>
        <v>0</v>
      </c>
      <c r="E81" s="25">
        <f>SUM(E82:E87)</f>
        <v>0</v>
      </c>
      <c r="F81" s="25">
        <f>SUM(F82:F87)</f>
        <v>0</v>
      </c>
    </row>
    <row r="82" spans="1:6" ht="15">
      <c r="A82" s="26" t="s">
        <v>220</v>
      </c>
      <c r="B82" s="27" t="s">
        <v>221</v>
      </c>
      <c r="C82" s="28"/>
      <c r="D82" s="28"/>
      <c r="E82" s="28"/>
      <c r="F82" s="29"/>
    </row>
    <row r="83" spans="1:6" ht="15">
      <c r="A83" s="26" t="s">
        <v>222</v>
      </c>
      <c r="B83" s="27" t="s">
        <v>223</v>
      </c>
      <c r="C83" s="31"/>
      <c r="D83" s="31"/>
      <c r="E83" s="39"/>
      <c r="F83" s="29"/>
    </row>
    <row r="84" spans="1:6" ht="15">
      <c r="A84" s="42">
        <v>4223</v>
      </c>
      <c r="B84" s="69" t="s">
        <v>224</v>
      </c>
      <c r="C84" s="31"/>
      <c r="D84" s="31"/>
      <c r="E84" s="31"/>
      <c r="F84" s="29"/>
    </row>
    <row r="85" spans="1:6" ht="15">
      <c r="A85" s="42">
        <v>4224</v>
      </c>
      <c r="B85" s="69" t="s">
        <v>225</v>
      </c>
      <c r="C85" s="31"/>
      <c r="D85" s="31"/>
      <c r="E85" s="31"/>
      <c r="F85" s="29"/>
    </row>
    <row r="86" spans="1:6" ht="15">
      <c r="A86" s="42">
        <v>4225</v>
      </c>
      <c r="B86" s="69" t="s">
        <v>226</v>
      </c>
      <c r="C86" s="31"/>
      <c r="D86" s="31"/>
      <c r="E86" s="31"/>
      <c r="F86" s="29"/>
    </row>
    <row r="87" spans="1:6" ht="15">
      <c r="A87" s="42">
        <v>4227</v>
      </c>
      <c r="B87" s="69" t="s">
        <v>227</v>
      </c>
      <c r="C87" s="31"/>
      <c r="D87" s="31"/>
      <c r="E87" s="31"/>
      <c r="F87" s="29"/>
    </row>
    <row r="88" spans="1:6" ht="15">
      <c r="A88" s="46">
        <v>423</v>
      </c>
      <c r="B88" s="68" t="s">
        <v>228</v>
      </c>
      <c r="C88" s="25">
        <f>C89</f>
        <v>0</v>
      </c>
      <c r="D88" s="25">
        <f>D89</f>
        <v>0</v>
      </c>
      <c r="E88" s="25">
        <f>E89</f>
        <v>0</v>
      </c>
      <c r="F88" s="25">
        <f>F89</f>
        <v>0</v>
      </c>
    </row>
    <row r="89" spans="1:6" ht="15">
      <c r="A89" s="42">
        <v>4231</v>
      </c>
      <c r="B89" s="69" t="s">
        <v>110</v>
      </c>
      <c r="C89" s="28"/>
      <c r="D89" s="28"/>
      <c r="E89" s="28"/>
      <c r="F89" s="29"/>
    </row>
    <row r="90" spans="1:6" ht="15">
      <c r="A90" s="46">
        <v>426</v>
      </c>
      <c r="B90" s="70" t="s">
        <v>229</v>
      </c>
      <c r="C90" s="65">
        <f>C91</f>
        <v>0</v>
      </c>
      <c r="D90" s="65">
        <f>D91</f>
        <v>0</v>
      </c>
      <c r="E90" s="65">
        <f>E91</f>
        <v>0</v>
      </c>
      <c r="F90" s="65">
        <f>F91</f>
        <v>0</v>
      </c>
    </row>
    <row r="91" spans="1:6" ht="15">
      <c r="A91" s="42">
        <v>4262</v>
      </c>
      <c r="B91" s="71" t="s">
        <v>230</v>
      </c>
      <c r="C91" s="38"/>
      <c r="D91" s="38"/>
      <c r="E91" s="38"/>
      <c r="F91" s="29"/>
    </row>
    <row r="92" spans="1:6" ht="17.25" customHeight="1">
      <c r="A92" s="20" t="s">
        <v>231</v>
      </c>
      <c r="B92" s="62" t="s">
        <v>232</v>
      </c>
      <c r="C92" s="22">
        <f>C93+C95</f>
        <v>0</v>
      </c>
      <c r="D92" s="22">
        <f>D93+D95</f>
        <v>0</v>
      </c>
      <c r="E92" s="22">
        <f>E93+E95</f>
        <v>0</v>
      </c>
      <c r="F92" s="22">
        <f>F93+F95</f>
        <v>0</v>
      </c>
    </row>
    <row r="93" spans="1:6" ht="15">
      <c r="A93" s="23" t="s">
        <v>233</v>
      </c>
      <c r="B93" s="24" t="s">
        <v>234</v>
      </c>
      <c r="C93" s="25">
        <f>C94</f>
        <v>0</v>
      </c>
      <c r="D93" s="25">
        <f>D94</f>
        <v>0</v>
      </c>
      <c r="E93" s="25">
        <f>E94</f>
        <v>0</v>
      </c>
      <c r="F93" s="25">
        <f>F94</f>
        <v>0</v>
      </c>
    </row>
    <row r="94" spans="1:6" ht="15">
      <c r="A94" s="26" t="s">
        <v>235</v>
      </c>
      <c r="B94" s="27" t="s">
        <v>234</v>
      </c>
      <c r="C94" s="28"/>
      <c r="D94" s="28"/>
      <c r="E94" s="28"/>
      <c r="F94" s="29"/>
    </row>
    <row r="95" spans="1:6" ht="15">
      <c r="A95" s="72" t="s">
        <v>236</v>
      </c>
      <c r="B95" s="73" t="s">
        <v>237</v>
      </c>
      <c r="C95" s="74">
        <f>C96</f>
        <v>0</v>
      </c>
      <c r="D95" s="74">
        <f>D96</f>
        <v>0</v>
      </c>
      <c r="E95" s="74">
        <f>E96</f>
        <v>0</v>
      </c>
      <c r="F95" s="74">
        <f>F96</f>
        <v>0</v>
      </c>
    </row>
    <row r="96" spans="1:6" ht="15">
      <c r="A96" s="75" t="s">
        <v>238</v>
      </c>
      <c r="B96" s="76" t="s">
        <v>237</v>
      </c>
      <c r="C96" s="30"/>
      <c r="D96" s="30"/>
      <c r="E96" s="77"/>
      <c r="F96" s="77"/>
    </row>
    <row r="97" spans="1:6" ht="21.75" customHeight="1">
      <c r="A97" s="78" t="s">
        <v>96</v>
      </c>
      <c r="B97" s="79" t="s">
        <v>245</v>
      </c>
      <c r="C97" s="80">
        <f>C98+C157</f>
        <v>1573177.8100000003</v>
      </c>
      <c r="D97" s="80">
        <f>D98+D157</f>
        <v>1061118.8499999999</v>
      </c>
      <c r="E97" s="80">
        <f>E98+E157</f>
        <v>1654700</v>
      </c>
      <c r="F97" s="80">
        <f>F98+F157</f>
        <v>1698348.0499999998</v>
      </c>
    </row>
    <row r="98" spans="1:6" ht="15">
      <c r="A98" s="81" t="s">
        <v>121</v>
      </c>
      <c r="B98" s="60" t="s">
        <v>122</v>
      </c>
      <c r="C98" s="61">
        <f>C99+C109+C140+C146+C149</f>
        <v>1573177.8100000003</v>
      </c>
      <c r="D98" s="61">
        <f>D99+D109+D140+D146+D149</f>
        <v>1061118.8499999999</v>
      </c>
      <c r="E98" s="61">
        <f>E109+E146+E149</f>
        <v>1654700</v>
      </c>
      <c r="F98" s="61">
        <f>F99+F109+F140+F146+F149</f>
        <v>1698348.0499999998</v>
      </c>
    </row>
    <row r="99" spans="1:6" ht="15">
      <c r="A99" s="20">
        <v>31</v>
      </c>
      <c r="B99" s="21" t="s">
        <v>123</v>
      </c>
      <c r="C99" s="22">
        <f>C100+C105+C107</f>
        <v>470798.34</v>
      </c>
      <c r="D99" s="22">
        <f>D100+D105+D107</f>
        <v>0</v>
      </c>
      <c r="E99" s="22">
        <f>E100+E105+E107</f>
        <v>0</v>
      </c>
      <c r="F99" s="22">
        <f>F100+F105+F107</f>
        <v>0</v>
      </c>
    </row>
    <row r="100" spans="1:6" ht="15">
      <c r="A100" s="23">
        <v>311</v>
      </c>
      <c r="B100" s="24" t="s">
        <v>124</v>
      </c>
      <c r="C100" s="25">
        <f>SUM(C101:C104)</f>
        <v>470798.34</v>
      </c>
      <c r="D100" s="25">
        <f>D101+D102+D103+D104</f>
        <v>0</v>
      </c>
      <c r="E100" s="25">
        <f>SUM(E101:E104)</f>
        <v>0</v>
      </c>
      <c r="F100" s="25">
        <f>SUM(F101:F104)</f>
        <v>0</v>
      </c>
    </row>
    <row r="101" spans="1:6" ht="15">
      <c r="A101" s="26">
        <v>3111</v>
      </c>
      <c r="B101" s="27" t="s">
        <v>125</v>
      </c>
      <c r="C101" s="28">
        <v>411440.71</v>
      </c>
      <c r="D101" s="28"/>
      <c r="E101" s="28"/>
      <c r="F101" s="29"/>
    </row>
    <row r="102" spans="1:6" ht="15">
      <c r="A102" s="26" t="s">
        <v>126</v>
      </c>
      <c r="B102" s="27" t="s">
        <v>127</v>
      </c>
      <c r="C102" s="28"/>
      <c r="D102" s="28"/>
      <c r="E102" s="28"/>
      <c r="F102" s="29"/>
    </row>
    <row r="103" spans="1:6" ht="15">
      <c r="A103" s="26" t="s">
        <v>128</v>
      </c>
      <c r="B103" s="27" t="s">
        <v>129</v>
      </c>
      <c r="C103" s="28">
        <v>59357.63</v>
      </c>
      <c r="D103" s="28"/>
      <c r="E103" s="28"/>
      <c r="F103" s="29"/>
    </row>
    <row r="104" spans="1:6" ht="15">
      <c r="A104" s="26" t="s">
        <v>130</v>
      </c>
      <c r="B104" s="27" t="s">
        <v>246</v>
      </c>
      <c r="C104" s="28"/>
      <c r="D104" s="31"/>
      <c r="E104" s="31"/>
      <c r="F104" s="29"/>
    </row>
    <row r="105" spans="1:6" ht="15">
      <c r="A105" s="23" t="s">
        <v>132</v>
      </c>
      <c r="B105" s="24" t="s">
        <v>133</v>
      </c>
      <c r="C105" s="32">
        <f>C106</f>
        <v>0</v>
      </c>
      <c r="D105" s="32">
        <f>D106</f>
        <v>0</v>
      </c>
      <c r="E105" s="32">
        <f>E106</f>
        <v>0</v>
      </c>
      <c r="F105" s="25">
        <f>F106</f>
        <v>0</v>
      </c>
    </row>
    <row r="106" spans="1:6" ht="15">
      <c r="A106" s="26" t="s">
        <v>134</v>
      </c>
      <c r="B106" s="27" t="s">
        <v>133</v>
      </c>
      <c r="C106" s="28"/>
      <c r="D106" s="28"/>
      <c r="E106" s="28"/>
      <c r="F106" s="29"/>
    </row>
    <row r="107" spans="1:6" ht="15">
      <c r="A107" s="33">
        <v>313</v>
      </c>
      <c r="B107" s="24" t="s">
        <v>135</v>
      </c>
      <c r="C107" s="25">
        <f>C108</f>
        <v>0</v>
      </c>
      <c r="D107" s="25">
        <f>D108</f>
        <v>0</v>
      </c>
      <c r="E107" s="32">
        <f>E108</f>
        <v>0</v>
      </c>
      <c r="F107" s="25">
        <f>F108</f>
        <v>0</v>
      </c>
    </row>
    <row r="108" spans="1:6" ht="15">
      <c r="A108" s="36">
        <v>3132</v>
      </c>
      <c r="B108" s="27" t="s">
        <v>136</v>
      </c>
      <c r="C108" s="28"/>
      <c r="D108" s="28"/>
      <c r="E108" s="28"/>
      <c r="F108" s="37"/>
    </row>
    <row r="109" spans="1:6" ht="15">
      <c r="A109" s="20">
        <v>32</v>
      </c>
      <c r="B109" s="21" t="s">
        <v>137</v>
      </c>
      <c r="C109" s="22">
        <f>C110+C115+C122+C132</f>
        <v>1096406.9400000002</v>
      </c>
      <c r="D109" s="22">
        <f>D110+D115+D122+D132</f>
        <v>1054482.71</v>
      </c>
      <c r="E109" s="22">
        <f>E110+E115+E122+E132</f>
        <v>1647800</v>
      </c>
      <c r="F109" s="22">
        <f>F110+F115+F122+F132</f>
        <v>1692502.8499999999</v>
      </c>
    </row>
    <row r="110" spans="1:6" ht="15">
      <c r="A110" s="23" t="s">
        <v>250</v>
      </c>
      <c r="B110" s="56" t="s">
        <v>138</v>
      </c>
      <c r="C110" s="25">
        <f>SUM(C111:C114)</f>
        <v>0</v>
      </c>
      <c r="D110" s="25">
        <f>SUM(D111:D114)</f>
        <v>0</v>
      </c>
      <c r="E110" s="25">
        <f>SUM(E111:E114)</f>
        <v>0</v>
      </c>
      <c r="F110" s="25">
        <f>SUM(F111:F114)</f>
        <v>0</v>
      </c>
    </row>
    <row r="111" spans="1:6" ht="15">
      <c r="A111" s="26" t="s">
        <v>139</v>
      </c>
      <c r="B111" s="57" t="s">
        <v>140</v>
      </c>
      <c r="C111" s="28"/>
      <c r="D111" s="28"/>
      <c r="E111" s="28"/>
      <c r="F111" s="29"/>
    </row>
    <row r="112" spans="1:6" ht="15">
      <c r="A112" s="26" t="s">
        <v>141</v>
      </c>
      <c r="B112" s="57" t="s">
        <v>142</v>
      </c>
      <c r="C112" s="28"/>
      <c r="D112" s="28"/>
      <c r="E112" s="28"/>
      <c r="F112" s="29"/>
    </row>
    <row r="113" spans="1:6" ht="15">
      <c r="A113" s="26" t="s">
        <v>143</v>
      </c>
      <c r="B113" s="57" t="s">
        <v>144</v>
      </c>
      <c r="C113" s="28"/>
      <c r="D113" s="28"/>
      <c r="E113" s="28"/>
      <c r="F113" s="29"/>
    </row>
    <row r="114" spans="1:6" ht="15">
      <c r="A114" s="26" t="s">
        <v>145</v>
      </c>
      <c r="B114" s="57" t="s">
        <v>146</v>
      </c>
      <c r="C114" s="28"/>
      <c r="D114" s="28"/>
      <c r="E114" s="28"/>
      <c r="F114" s="29"/>
    </row>
    <row r="115" spans="1:6" ht="15">
      <c r="A115" s="23" t="s">
        <v>147</v>
      </c>
      <c r="B115" s="24" t="s">
        <v>148</v>
      </c>
      <c r="C115" s="25">
        <f>SUM(C116:C121)</f>
        <v>1016008.89</v>
      </c>
      <c r="D115" s="25">
        <f>SUM(D116:D121)</f>
        <v>984139.62</v>
      </c>
      <c r="E115" s="25">
        <f>SUM(E116:E121)</f>
        <v>1639800</v>
      </c>
      <c r="F115" s="25">
        <f>SUM(F116:F121)</f>
        <v>1687141.5599999998</v>
      </c>
    </row>
    <row r="116" spans="1:6" ht="15">
      <c r="A116" s="26" t="s">
        <v>149</v>
      </c>
      <c r="B116" s="27" t="s">
        <v>150</v>
      </c>
      <c r="C116" s="28"/>
      <c r="D116" s="28"/>
      <c r="E116" s="28"/>
      <c r="F116" s="29"/>
    </row>
    <row r="117" spans="1:6" ht="15">
      <c r="A117" s="26" t="s">
        <v>151</v>
      </c>
      <c r="B117" s="27" t="s">
        <v>152</v>
      </c>
      <c r="C117" s="28">
        <v>1016008.89</v>
      </c>
      <c r="D117" s="28">
        <v>868670.78</v>
      </c>
      <c r="E117" s="28">
        <v>1514800</v>
      </c>
      <c r="F117" s="29">
        <v>1562040.42</v>
      </c>
    </row>
    <row r="118" spans="1:6" ht="15">
      <c r="A118" s="26" t="s">
        <v>153</v>
      </c>
      <c r="B118" s="27" t="s">
        <v>154</v>
      </c>
      <c r="C118" s="28"/>
      <c r="D118" s="28">
        <v>115468.84</v>
      </c>
      <c r="E118" s="28">
        <v>125000</v>
      </c>
      <c r="F118" s="29">
        <v>125101.14</v>
      </c>
    </row>
    <row r="119" spans="1:6" ht="15">
      <c r="A119" s="26" t="s">
        <v>155</v>
      </c>
      <c r="B119" s="27" t="s">
        <v>401</v>
      </c>
      <c r="C119" s="28"/>
      <c r="D119" s="28"/>
      <c r="E119" s="28"/>
      <c r="F119" s="29"/>
    </row>
    <row r="120" spans="1:6" ht="15">
      <c r="A120" s="26" t="s">
        <v>157</v>
      </c>
      <c r="B120" s="27" t="s">
        <v>158</v>
      </c>
      <c r="C120" s="28"/>
      <c r="D120" s="28"/>
      <c r="E120" s="28"/>
      <c r="F120" s="29"/>
    </row>
    <row r="121" spans="1:6" ht="15">
      <c r="A121" s="26" t="s">
        <v>159</v>
      </c>
      <c r="B121" s="27" t="s">
        <v>402</v>
      </c>
      <c r="C121" s="28"/>
      <c r="D121" s="28"/>
      <c r="E121" s="28"/>
      <c r="F121" s="29"/>
    </row>
    <row r="122" spans="1:6" ht="15">
      <c r="A122" s="23" t="s">
        <v>161</v>
      </c>
      <c r="B122" s="24" t="s">
        <v>162</v>
      </c>
      <c r="C122" s="25">
        <f>SUM(C123:C131)</f>
        <v>75752.75</v>
      </c>
      <c r="D122" s="25">
        <f>SUM(D123:D131)</f>
        <v>26544.56</v>
      </c>
      <c r="E122" s="25">
        <f>SUM(E123:E131)</f>
        <v>0</v>
      </c>
      <c r="F122" s="25">
        <f>SUM(F123:F131)</f>
        <v>0</v>
      </c>
    </row>
    <row r="123" spans="1:6" ht="15">
      <c r="A123" s="26" t="s">
        <v>163</v>
      </c>
      <c r="B123" s="27" t="s">
        <v>164</v>
      </c>
      <c r="C123" s="28"/>
      <c r="D123" s="28"/>
      <c r="E123" s="28"/>
      <c r="F123" s="29"/>
    </row>
    <row r="124" spans="1:6" ht="15">
      <c r="A124" s="26" t="s">
        <v>165</v>
      </c>
      <c r="B124" s="27" t="s">
        <v>166</v>
      </c>
      <c r="C124" s="28">
        <v>29830.65</v>
      </c>
      <c r="D124" s="28">
        <v>26544.56</v>
      </c>
      <c r="E124" s="28"/>
      <c r="F124" s="29"/>
    </row>
    <row r="125" spans="1:6" ht="15">
      <c r="A125" s="26" t="s">
        <v>167</v>
      </c>
      <c r="B125" s="27" t="s">
        <v>168</v>
      </c>
      <c r="C125" s="28"/>
      <c r="D125" s="28"/>
      <c r="E125" s="28"/>
      <c r="F125" s="29"/>
    </row>
    <row r="126" spans="1:6" ht="15">
      <c r="A126" s="26" t="s">
        <v>169</v>
      </c>
      <c r="B126" s="27" t="s">
        <v>170</v>
      </c>
      <c r="C126" s="28"/>
      <c r="D126" s="28"/>
      <c r="E126" s="28"/>
      <c r="F126" s="29"/>
    </row>
    <row r="127" spans="1:6" ht="15">
      <c r="A127" s="26" t="s">
        <v>251</v>
      </c>
      <c r="B127" s="27" t="s">
        <v>171</v>
      </c>
      <c r="C127" s="28"/>
      <c r="D127" s="28"/>
      <c r="E127" s="28"/>
      <c r="F127" s="29"/>
    </row>
    <row r="128" spans="1:6" ht="15">
      <c r="A128" s="26" t="s">
        <v>252</v>
      </c>
      <c r="B128" s="27" t="s">
        <v>172</v>
      </c>
      <c r="C128" s="28"/>
      <c r="D128" s="28"/>
      <c r="E128" s="28"/>
      <c r="F128" s="29"/>
    </row>
    <row r="129" spans="1:6" ht="15">
      <c r="A129" s="26" t="s">
        <v>253</v>
      </c>
      <c r="B129" s="27" t="s">
        <v>173</v>
      </c>
      <c r="C129" s="28">
        <v>29597.19</v>
      </c>
      <c r="D129" s="28"/>
      <c r="E129" s="28"/>
      <c r="F129" s="29"/>
    </row>
    <row r="130" spans="1:6" ht="15">
      <c r="A130" s="26" t="s">
        <v>174</v>
      </c>
      <c r="B130" s="27" t="s">
        <v>175</v>
      </c>
      <c r="C130" s="28"/>
      <c r="D130" s="28"/>
      <c r="E130" s="28"/>
      <c r="F130" s="29"/>
    </row>
    <row r="131" spans="1:6" ht="15">
      <c r="A131" s="26" t="s">
        <v>176</v>
      </c>
      <c r="B131" s="27" t="s">
        <v>177</v>
      </c>
      <c r="C131" s="28">
        <v>16324.91</v>
      </c>
      <c r="D131" s="28"/>
      <c r="E131" s="28"/>
      <c r="F131" s="29"/>
    </row>
    <row r="132" spans="1:6" ht="15">
      <c r="A132" s="23" t="s">
        <v>254</v>
      </c>
      <c r="B132" s="24" t="s">
        <v>179</v>
      </c>
      <c r="C132" s="25">
        <f>SUM(C133:C139)</f>
        <v>4645.3</v>
      </c>
      <c r="D132" s="25">
        <f>SUM(D133:D139)</f>
        <v>43798.53</v>
      </c>
      <c r="E132" s="25">
        <f>SUM(E133:E139)</f>
        <v>8000</v>
      </c>
      <c r="F132" s="25">
        <f>SUM(F133:F139)</f>
        <v>5361.29</v>
      </c>
    </row>
    <row r="133" spans="1:6" ht="15">
      <c r="A133" s="26" t="s">
        <v>180</v>
      </c>
      <c r="B133" s="27" t="s">
        <v>403</v>
      </c>
      <c r="C133" s="31">
        <v>663.62</v>
      </c>
      <c r="D133" s="31"/>
      <c r="E133" s="31"/>
      <c r="F133" s="29"/>
    </row>
    <row r="134" spans="1:6" ht="15">
      <c r="A134" s="26" t="s">
        <v>266</v>
      </c>
      <c r="B134" s="27" t="s">
        <v>182</v>
      </c>
      <c r="C134" s="31"/>
      <c r="D134" s="31"/>
      <c r="E134" s="31"/>
      <c r="F134" s="29"/>
    </row>
    <row r="135" spans="1:6" ht="15">
      <c r="A135" s="26" t="s">
        <v>256</v>
      </c>
      <c r="B135" s="27" t="s">
        <v>183</v>
      </c>
      <c r="C135" s="31">
        <v>3981.68</v>
      </c>
      <c r="D135" s="31">
        <v>3981.68</v>
      </c>
      <c r="E135" s="31"/>
      <c r="F135" s="29"/>
    </row>
    <row r="136" spans="1:6" ht="15">
      <c r="A136" s="26" t="s">
        <v>404</v>
      </c>
      <c r="B136" s="27" t="s">
        <v>184</v>
      </c>
      <c r="C136" s="31"/>
      <c r="D136" s="31"/>
      <c r="E136" s="31"/>
      <c r="F136" s="29"/>
    </row>
    <row r="137" spans="1:6" ht="15">
      <c r="A137" s="26" t="s">
        <v>257</v>
      </c>
      <c r="B137" s="27" t="s">
        <v>185</v>
      </c>
      <c r="C137" s="31"/>
      <c r="D137" s="31"/>
      <c r="E137" s="31"/>
      <c r="F137" s="29"/>
    </row>
    <row r="138" spans="1:6" ht="15">
      <c r="A138" s="26" t="s">
        <v>351</v>
      </c>
      <c r="B138" s="27" t="s">
        <v>186</v>
      </c>
      <c r="C138" s="31"/>
      <c r="D138" s="31">
        <v>39816.85</v>
      </c>
      <c r="E138" s="31">
        <v>8000</v>
      </c>
      <c r="F138" s="29">
        <v>5361.29</v>
      </c>
    </row>
    <row r="139" spans="1:6" ht="15">
      <c r="A139" s="26" t="s">
        <v>187</v>
      </c>
      <c r="B139" s="27" t="s">
        <v>179</v>
      </c>
      <c r="C139" s="28"/>
      <c r="D139" s="28"/>
      <c r="E139" s="28"/>
      <c r="F139" s="29"/>
    </row>
    <row r="140" spans="1:6" ht="15">
      <c r="A140" s="82" t="s">
        <v>405</v>
      </c>
      <c r="B140" s="83" t="s">
        <v>188</v>
      </c>
      <c r="C140" s="22">
        <f>C141</f>
        <v>0</v>
      </c>
      <c r="D140" s="22">
        <f>D141</f>
        <v>0</v>
      </c>
      <c r="E140" s="22">
        <f>E141</f>
        <v>0</v>
      </c>
      <c r="F140" s="22">
        <f>F141</f>
        <v>0</v>
      </c>
    </row>
    <row r="141" spans="1:6" ht="15">
      <c r="A141" s="23" t="s">
        <v>406</v>
      </c>
      <c r="B141" s="24" t="s">
        <v>192</v>
      </c>
      <c r="C141" s="25">
        <f>SUM(C142:C145)</f>
        <v>0</v>
      </c>
      <c r="D141" s="25">
        <f>SUM(D142:D145)</f>
        <v>0</v>
      </c>
      <c r="E141" s="25">
        <f>SUM(E142:E145)</f>
        <v>0</v>
      </c>
      <c r="F141" s="25">
        <f>SUM(F142:F145)</f>
        <v>0</v>
      </c>
    </row>
    <row r="142" spans="1:6" ht="15">
      <c r="A142" s="26" t="s">
        <v>190</v>
      </c>
      <c r="B142" s="27" t="s">
        <v>191</v>
      </c>
      <c r="C142" s="28"/>
      <c r="D142" s="28"/>
      <c r="E142" s="28"/>
      <c r="F142" s="29"/>
    </row>
    <row r="143" spans="1:6" ht="15">
      <c r="A143" s="26" t="s">
        <v>407</v>
      </c>
      <c r="B143" s="27" t="s">
        <v>240</v>
      </c>
      <c r="C143" s="28"/>
      <c r="D143" s="28"/>
      <c r="E143" s="28"/>
      <c r="F143" s="29"/>
    </row>
    <row r="144" spans="1:6" ht="15">
      <c r="A144" s="26" t="s">
        <v>408</v>
      </c>
      <c r="B144" s="27" t="s">
        <v>192</v>
      </c>
      <c r="C144" s="28"/>
      <c r="D144" s="28"/>
      <c r="E144" s="28"/>
      <c r="F144" s="29"/>
    </row>
    <row r="145" spans="1:6" ht="15">
      <c r="A145" s="26" t="s">
        <v>409</v>
      </c>
      <c r="B145" s="27" t="s">
        <v>189</v>
      </c>
      <c r="C145" s="28"/>
      <c r="D145" s="28"/>
      <c r="E145" s="28"/>
      <c r="F145" s="29"/>
    </row>
    <row r="146" spans="1:6" ht="15">
      <c r="A146" s="82" t="s">
        <v>410</v>
      </c>
      <c r="B146" s="83" t="s">
        <v>398</v>
      </c>
      <c r="C146" s="22">
        <f aca="true" t="shared" si="2" ref="C146:F147">C147</f>
        <v>4645.3</v>
      </c>
      <c r="D146" s="22">
        <f t="shared" si="2"/>
        <v>5308.91</v>
      </c>
      <c r="E146" s="22">
        <f t="shared" si="2"/>
        <v>5700</v>
      </c>
      <c r="F146" s="22">
        <f t="shared" si="2"/>
        <v>4645.2</v>
      </c>
    </row>
    <row r="147" spans="1:6" ht="15">
      <c r="A147" s="23" t="s">
        <v>411</v>
      </c>
      <c r="B147" s="24" t="s">
        <v>198</v>
      </c>
      <c r="C147" s="25">
        <f t="shared" si="2"/>
        <v>4645.3</v>
      </c>
      <c r="D147" s="25">
        <f t="shared" si="2"/>
        <v>5308.91</v>
      </c>
      <c r="E147" s="25">
        <f t="shared" si="2"/>
        <v>5700</v>
      </c>
      <c r="F147" s="25">
        <f t="shared" si="2"/>
        <v>4645.2</v>
      </c>
    </row>
    <row r="148" spans="1:6" ht="15">
      <c r="A148" s="26" t="s">
        <v>412</v>
      </c>
      <c r="B148" s="27" t="s">
        <v>199</v>
      </c>
      <c r="C148" s="28">
        <v>4645.3</v>
      </c>
      <c r="D148" s="28">
        <v>5308.91</v>
      </c>
      <c r="E148" s="28">
        <v>5700</v>
      </c>
      <c r="F148" s="29">
        <v>4645.2</v>
      </c>
    </row>
    <row r="149" spans="1:6" ht="15">
      <c r="A149" s="82" t="s">
        <v>200</v>
      </c>
      <c r="B149" s="83" t="s">
        <v>133</v>
      </c>
      <c r="C149" s="22">
        <f>C150+C152+C155</f>
        <v>1327.23</v>
      </c>
      <c r="D149" s="22">
        <f>D150</f>
        <v>1327.23</v>
      </c>
      <c r="E149" s="22">
        <f>E150</f>
        <v>1200</v>
      </c>
      <c r="F149" s="22">
        <f>F150+F152+F155</f>
        <v>1200</v>
      </c>
    </row>
    <row r="150" spans="1:6" ht="15">
      <c r="A150" s="23" t="s">
        <v>201</v>
      </c>
      <c r="B150" s="24" t="s">
        <v>99</v>
      </c>
      <c r="C150" s="25">
        <f>C151</f>
        <v>1327.23</v>
      </c>
      <c r="D150" s="25">
        <f>D151</f>
        <v>1327.23</v>
      </c>
      <c r="E150" s="25">
        <f>E151</f>
        <v>1200</v>
      </c>
      <c r="F150" s="25">
        <f>F151</f>
        <v>1200</v>
      </c>
    </row>
    <row r="151" spans="1:6" ht="15">
      <c r="A151" s="26" t="s">
        <v>203</v>
      </c>
      <c r="B151" s="27" t="s">
        <v>202</v>
      </c>
      <c r="C151" s="28">
        <v>1327.23</v>
      </c>
      <c r="D151" s="28">
        <v>1327.23</v>
      </c>
      <c r="E151" s="28">
        <v>1200</v>
      </c>
      <c r="F151" s="58">
        <v>1200</v>
      </c>
    </row>
    <row r="152" spans="1:6" ht="15">
      <c r="A152" s="23" t="s">
        <v>413</v>
      </c>
      <c r="B152" s="24" t="s">
        <v>204</v>
      </c>
      <c r="C152" s="25">
        <f>SUM(C153:C154)</f>
        <v>0</v>
      </c>
      <c r="D152" s="25">
        <f>SUM(D153:D154)</f>
        <v>0</v>
      </c>
      <c r="E152" s="32">
        <f>SUM(E153:E154)</f>
        <v>0</v>
      </c>
      <c r="F152" s="25">
        <f>SUM(F153:F154)</f>
        <v>0</v>
      </c>
    </row>
    <row r="153" spans="1:6" ht="15">
      <c r="A153" s="26" t="s">
        <v>414</v>
      </c>
      <c r="B153" s="27" t="s">
        <v>415</v>
      </c>
      <c r="C153" s="31"/>
      <c r="D153" s="31"/>
      <c r="E153" s="31"/>
      <c r="F153" s="29"/>
    </row>
    <row r="154" spans="1:6" ht="15">
      <c r="A154" s="26" t="s">
        <v>416</v>
      </c>
      <c r="B154" s="27" t="s">
        <v>208</v>
      </c>
      <c r="C154" s="28"/>
      <c r="D154" s="28"/>
      <c r="E154" s="28"/>
      <c r="F154" s="29"/>
    </row>
    <row r="155" spans="1:6" ht="15">
      <c r="A155" s="23" t="s">
        <v>417</v>
      </c>
      <c r="B155" s="24" t="s">
        <v>418</v>
      </c>
      <c r="C155" s="34">
        <f>C156</f>
        <v>0</v>
      </c>
      <c r="D155" s="34">
        <f>D156</f>
        <v>0</v>
      </c>
      <c r="E155" s="34">
        <f>E156</f>
        <v>0</v>
      </c>
      <c r="F155" s="34">
        <f>F156</f>
        <v>0</v>
      </c>
    </row>
    <row r="156" spans="1:6" ht="15">
      <c r="A156" s="26" t="s">
        <v>419</v>
      </c>
      <c r="B156" s="27" t="s">
        <v>420</v>
      </c>
      <c r="C156" s="28">
        <v>0</v>
      </c>
      <c r="D156" s="38">
        <f>E156/7.5345</f>
        <v>0</v>
      </c>
      <c r="E156" s="38">
        <f>F156/7.5345</f>
        <v>0</v>
      </c>
      <c r="F156" s="38">
        <f>G156/7.5345</f>
        <v>0</v>
      </c>
    </row>
    <row r="157" spans="1:6" ht="15">
      <c r="A157" s="84" t="s">
        <v>421</v>
      </c>
      <c r="B157" s="85" t="s">
        <v>209</v>
      </c>
      <c r="C157" s="61">
        <f>C158+C161</f>
        <v>0</v>
      </c>
      <c r="D157" s="61">
        <f>D158+D161</f>
        <v>0</v>
      </c>
      <c r="E157" s="61">
        <f>E158+E161</f>
        <v>0</v>
      </c>
      <c r="F157" s="61">
        <f>F158+F161</f>
        <v>0</v>
      </c>
    </row>
    <row r="158" spans="1:6" ht="15">
      <c r="A158" s="82" t="s">
        <v>210</v>
      </c>
      <c r="B158" s="83" t="s">
        <v>211</v>
      </c>
      <c r="C158" s="22">
        <f aca="true" t="shared" si="3" ref="C158:F159">C159</f>
        <v>0</v>
      </c>
      <c r="D158" s="22">
        <f t="shared" si="3"/>
        <v>0</v>
      </c>
      <c r="E158" s="22">
        <f t="shared" si="3"/>
        <v>0</v>
      </c>
      <c r="F158" s="22">
        <f t="shared" si="3"/>
        <v>0</v>
      </c>
    </row>
    <row r="159" spans="1:6" ht="15">
      <c r="A159" s="23" t="s">
        <v>422</v>
      </c>
      <c r="B159" s="24" t="s">
        <v>216</v>
      </c>
      <c r="C159" s="25">
        <f t="shared" si="3"/>
        <v>0</v>
      </c>
      <c r="D159" s="25">
        <f t="shared" si="3"/>
        <v>0</v>
      </c>
      <c r="E159" s="25">
        <f t="shared" si="3"/>
        <v>0</v>
      </c>
      <c r="F159" s="25">
        <f t="shared" si="3"/>
        <v>0</v>
      </c>
    </row>
    <row r="160" spans="1:6" ht="15">
      <c r="A160" s="26" t="s">
        <v>423</v>
      </c>
      <c r="B160" s="27" t="s">
        <v>217</v>
      </c>
      <c r="C160" s="38"/>
      <c r="D160" s="38"/>
      <c r="E160" s="38"/>
      <c r="F160" s="38"/>
    </row>
    <row r="161" spans="1:6" ht="15">
      <c r="A161" s="82" t="s">
        <v>345</v>
      </c>
      <c r="B161" s="83" t="s">
        <v>218</v>
      </c>
      <c r="C161" s="22">
        <f>C162+C164+C171+C173</f>
        <v>0</v>
      </c>
      <c r="D161" s="22">
        <f>D162+D164+D173</f>
        <v>0</v>
      </c>
      <c r="E161" s="22">
        <f>E162+E164+E173</f>
        <v>0</v>
      </c>
      <c r="F161" s="22">
        <f>F162+F164+F171+F173</f>
        <v>0</v>
      </c>
    </row>
    <row r="162" spans="1:6" ht="15">
      <c r="A162" s="63" t="s">
        <v>241</v>
      </c>
      <c r="B162" s="86" t="s">
        <v>242</v>
      </c>
      <c r="C162" s="32">
        <f>C163</f>
        <v>0</v>
      </c>
      <c r="D162" s="32">
        <f>D163</f>
        <v>0</v>
      </c>
      <c r="E162" s="32">
        <f>E163</f>
        <v>0</v>
      </c>
      <c r="F162" s="32">
        <f>F163</f>
        <v>0</v>
      </c>
    </row>
    <row r="163" spans="1:6" ht="15">
      <c r="A163" s="66" t="s">
        <v>243</v>
      </c>
      <c r="B163" s="87" t="s">
        <v>244</v>
      </c>
      <c r="C163" s="39"/>
      <c r="D163" s="39"/>
      <c r="E163" s="31"/>
      <c r="F163" s="58"/>
    </row>
    <row r="164" spans="1:6" ht="15">
      <c r="A164" s="23" t="s">
        <v>258</v>
      </c>
      <c r="B164" s="24" t="s">
        <v>219</v>
      </c>
      <c r="C164" s="25">
        <f>SUM(C165:C170)</f>
        <v>0</v>
      </c>
      <c r="D164" s="25">
        <f>SUM(D165:D170)</f>
        <v>0</v>
      </c>
      <c r="E164" s="32">
        <f>SUM(E165:E170)</f>
        <v>0</v>
      </c>
      <c r="F164" s="25">
        <f>SUM(F165:F170)</f>
        <v>0</v>
      </c>
    </row>
    <row r="165" spans="1:6" ht="15">
      <c r="A165" s="26" t="s">
        <v>220</v>
      </c>
      <c r="B165" s="27" t="s">
        <v>221</v>
      </c>
      <c r="C165" s="28"/>
      <c r="D165" s="28"/>
      <c r="E165" s="28"/>
      <c r="F165" s="29"/>
    </row>
    <row r="166" spans="1:6" ht="15">
      <c r="A166" s="26" t="s">
        <v>222</v>
      </c>
      <c r="B166" s="27" t="s">
        <v>223</v>
      </c>
      <c r="C166" s="31"/>
      <c r="D166" s="28"/>
      <c r="E166" s="31"/>
      <c r="F166" s="29"/>
    </row>
    <row r="167" spans="1:6" ht="15">
      <c r="A167" s="26" t="s">
        <v>263</v>
      </c>
      <c r="B167" s="27" t="s">
        <v>224</v>
      </c>
      <c r="C167" s="31"/>
      <c r="D167" s="31"/>
      <c r="E167" s="31"/>
      <c r="F167" s="29"/>
    </row>
    <row r="168" spans="1:6" ht="15">
      <c r="A168" s="26" t="s">
        <v>264</v>
      </c>
      <c r="B168" s="27" t="s">
        <v>225</v>
      </c>
      <c r="C168" s="31"/>
      <c r="D168" s="31"/>
      <c r="E168" s="31"/>
      <c r="F168" s="29"/>
    </row>
    <row r="169" spans="1:6" ht="15">
      <c r="A169" s="26" t="s">
        <v>265</v>
      </c>
      <c r="B169" s="71" t="s">
        <v>226</v>
      </c>
      <c r="C169" s="31"/>
      <c r="D169" s="31"/>
      <c r="E169" s="31"/>
      <c r="F169" s="29"/>
    </row>
    <row r="170" spans="1:6" ht="15">
      <c r="A170" s="26" t="s">
        <v>342</v>
      </c>
      <c r="B170" s="27" t="s">
        <v>227</v>
      </c>
      <c r="C170" s="31"/>
      <c r="D170" s="31"/>
      <c r="E170" s="31"/>
      <c r="F170" s="29"/>
    </row>
    <row r="171" spans="1:6" ht="15">
      <c r="A171" s="23" t="s">
        <v>424</v>
      </c>
      <c r="B171" s="70" t="s">
        <v>228</v>
      </c>
      <c r="C171" s="65">
        <f>C172</f>
        <v>0</v>
      </c>
      <c r="D171" s="65">
        <f>D172</f>
        <v>0</v>
      </c>
      <c r="E171" s="65">
        <f>E172</f>
        <v>0</v>
      </c>
      <c r="F171" s="65">
        <f>F172</f>
        <v>0</v>
      </c>
    </row>
    <row r="172" spans="1:6" ht="15">
      <c r="A172" s="26" t="s">
        <v>425</v>
      </c>
      <c r="B172" s="71" t="s">
        <v>228</v>
      </c>
      <c r="C172" s="31"/>
      <c r="D172" s="31"/>
      <c r="E172" s="31"/>
      <c r="F172" s="29"/>
    </row>
    <row r="173" spans="1:6" ht="15">
      <c r="A173" s="23" t="s">
        <v>267</v>
      </c>
      <c r="B173" s="24" t="s">
        <v>335</v>
      </c>
      <c r="C173" s="88">
        <f>C174</f>
        <v>0</v>
      </c>
      <c r="D173" s="88">
        <f>D174</f>
        <v>0</v>
      </c>
      <c r="E173" s="88">
        <f>E174</f>
        <v>0</v>
      </c>
      <c r="F173" s="88">
        <f>F174</f>
        <v>0</v>
      </c>
    </row>
    <row r="174" spans="1:6" ht="15">
      <c r="A174" s="26" t="s">
        <v>268</v>
      </c>
      <c r="B174" s="27" t="s">
        <v>426</v>
      </c>
      <c r="C174" s="31"/>
      <c r="D174" s="31"/>
      <c r="E174" s="31"/>
      <c r="F174" s="29"/>
    </row>
    <row r="175" spans="1:6" ht="21" customHeight="1">
      <c r="A175" s="78">
        <v>52</v>
      </c>
      <c r="B175" s="79" t="s">
        <v>259</v>
      </c>
      <c r="C175" s="80">
        <f>C176+C194</f>
        <v>162877.59999999998</v>
      </c>
      <c r="D175" s="80">
        <f>D176+D194</f>
        <v>796.34</v>
      </c>
      <c r="E175" s="80">
        <f>E176+E194</f>
        <v>98825</v>
      </c>
      <c r="F175" s="80">
        <f>F176+F194</f>
        <v>110979.64</v>
      </c>
    </row>
    <row r="176" spans="1:6" ht="15">
      <c r="A176" s="81" t="s">
        <v>121</v>
      </c>
      <c r="B176" s="60" t="s">
        <v>122</v>
      </c>
      <c r="C176" s="61">
        <f>C177+C186+C191</f>
        <v>160650.8</v>
      </c>
      <c r="D176" s="61">
        <f>D177+D186+D191</f>
        <v>796.34</v>
      </c>
      <c r="E176" s="61">
        <f>E177+E186+E191</f>
        <v>98825</v>
      </c>
      <c r="F176" s="61">
        <f>F177+F186+F191</f>
        <v>110979.64</v>
      </c>
    </row>
    <row r="177" spans="1:6" ht="15">
      <c r="A177" s="20">
        <v>31</v>
      </c>
      <c r="B177" s="21" t="s">
        <v>123</v>
      </c>
      <c r="C177" s="22">
        <f>C178+C182+C184</f>
        <v>160650.8</v>
      </c>
      <c r="D177" s="22">
        <f>D178+D182+D184</f>
        <v>796.34</v>
      </c>
      <c r="E177" s="22">
        <f>E178+E182+E184</f>
        <v>98825</v>
      </c>
      <c r="F177" s="22">
        <f>F178+F182+F184</f>
        <v>110979.64</v>
      </c>
    </row>
    <row r="178" spans="1:6" ht="15">
      <c r="A178" s="23">
        <v>311</v>
      </c>
      <c r="B178" s="24" t="s">
        <v>124</v>
      </c>
      <c r="C178" s="25">
        <f>C179+C180</f>
        <v>160650.8</v>
      </c>
      <c r="D178" s="25">
        <f>D179+D180</f>
        <v>796.34</v>
      </c>
      <c r="E178" s="25">
        <f>E179+E180</f>
        <v>98825</v>
      </c>
      <c r="F178" s="25">
        <f>F179+F180+F181</f>
        <v>110979.64</v>
      </c>
    </row>
    <row r="179" spans="1:6" ht="15">
      <c r="A179" s="26">
        <v>3111</v>
      </c>
      <c r="B179" s="27" t="s">
        <v>125</v>
      </c>
      <c r="C179" s="38">
        <v>160650.8</v>
      </c>
      <c r="D179" s="38">
        <v>796.34</v>
      </c>
      <c r="E179" s="28">
        <v>98825</v>
      </c>
      <c r="F179" s="37">
        <v>110979.64</v>
      </c>
    </row>
    <row r="180" spans="1:6" ht="15">
      <c r="A180" s="26" t="s">
        <v>128</v>
      </c>
      <c r="B180" s="27" t="s">
        <v>129</v>
      </c>
      <c r="C180" s="38"/>
      <c r="D180" s="38"/>
      <c r="E180" s="39"/>
      <c r="F180" s="38"/>
    </row>
    <row r="181" spans="1:6" ht="15">
      <c r="A181" s="26" t="s">
        <v>130</v>
      </c>
      <c r="B181" s="89" t="s">
        <v>246</v>
      </c>
      <c r="C181" s="38"/>
      <c r="D181" s="38"/>
      <c r="E181" s="39"/>
      <c r="F181" s="37"/>
    </row>
    <row r="182" spans="1:6" ht="15">
      <c r="A182" s="23" t="s">
        <v>132</v>
      </c>
      <c r="B182" s="24" t="s">
        <v>133</v>
      </c>
      <c r="C182" s="25">
        <f>C183</f>
        <v>0</v>
      </c>
      <c r="D182" s="25">
        <f>D183</f>
        <v>0</v>
      </c>
      <c r="E182" s="25">
        <f>E183</f>
        <v>0</v>
      </c>
      <c r="F182" s="25">
        <f>F183</f>
        <v>0</v>
      </c>
    </row>
    <row r="183" spans="1:6" ht="15">
      <c r="A183" s="26" t="s">
        <v>134</v>
      </c>
      <c r="B183" s="27" t="s">
        <v>133</v>
      </c>
      <c r="C183" s="38"/>
      <c r="D183" s="38"/>
      <c r="E183" s="39"/>
      <c r="F183" s="38"/>
    </row>
    <row r="184" spans="1:6" ht="15">
      <c r="A184" s="23" t="s">
        <v>247</v>
      </c>
      <c r="B184" s="24" t="s">
        <v>135</v>
      </c>
      <c r="C184" s="25">
        <f>C185</f>
        <v>0</v>
      </c>
      <c r="D184" s="25">
        <f>D185</f>
        <v>0</v>
      </c>
      <c r="E184" s="25">
        <f>E185</f>
        <v>0</v>
      </c>
      <c r="F184" s="25">
        <f>F185</f>
        <v>0</v>
      </c>
    </row>
    <row r="185" spans="1:6" ht="15">
      <c r="A185" s="26" t="s">
        <v>248</v>
      </c>
      <c r="B185" s="27" t="s">
        <v>136</v>
      </c>
      <c r="C185" s="38"/>
      <c r="D185" s="38"/>
      <c r="E185" s="38"/>
      <c r="F185" s="37"/>
    </row>
    <row r="186" spans="1:6" ht="15">
      <c r="A186" s="20">
        <v>32</v>
      </c>
      <c r="B186" s="21" t="s">
        <v>137</v>
      </c>
      <c r="C186" s="22">
        <f>C187</f>
        <v>0</v>
      </c>
      <c r="D186" s="22">
        <f>D187</f>
        <v>0</v>
      </c>
      <c r="E186" s="22">
        <f>E187</f>
        <v>0</v>
      </c>
      <c r="F186" s="22">
        <f>F187</f>
        <v>0</v>
      </c>
    </row>
    <row r="187" spans="1:6" ht="15">
      <c r="A187" s="23" t="s">
        <v>147</v>
      </c>
      <c r="B187" s="24" t="s">
        <v>148</v>
      </c>
      <c r="C187" s="25">
        <f>C188+C189+C190</f>
        <v>0</v>
      </c>
      <c r="D187" s="25">
        <f>D188+D189+D190</f>
        <v>0</v>
      </c>
      <c r="E187" s="25">
        <f>E188+E189+E190</f>
        <v>0</v>
      </c>
      <c r="F187" s="25">
        <f>F188+F189+F190</f>
        <v>0</v>
      </c>
    </row>
    <row r="188" spans="1:6" ht="15">
      <c r="A188" s="26" t="s">
        <v>151</v>
      </c>
      <c r="B188" s="27" t="s">
        <v>152</v>
      </c>
      <c r="C188" s="38"/>
      <c r="D188" s="38"/>
      <c r="E188" s="38"/>
      <c r="F188" s="37"/>
    </row>
    <row r="189" spans="1:6" ht="15">
      <c r="A189" s="26" t="s">
        <v>153</v>
      </c>
      <c r="B189" s="27" t="s">
        <v>154</v>
      </c>
      <c r="C189" s="38"/>
      <c r="D189" s="38"/>
      <c r="E189" s="38"/>
      <c r="F189" s="37"/>
    </row>
    <row r="190" spans="1:6" ht="15">
      <c r="A190" s="26" t="s">
        <v>155</v>
      </c>
      <c r="B190" s="27" t="s">
        <v>401</v>
      </c>
      <c r="C190" s="38"/>
      <c r="D190" s="38"/>
      <c r="E190" s="38"/>
      <c r="F190" s="37"/>
    </row>
    <row r="191" spans="1:6" ht="15">
      <c r="A191" s="23" t="s">
        <v>200</v>
      </c>
      <c r="B191" s="24" t="s">
        <v>420</v>
      </c>
      <c r="C191" s="25">
        <f aca="true" t="shared" si="4" ref="C191:F192">C192</f>
        <v>0</v>
      </c>
      <c r="D191" s="25">
        <f t="shared" si="4"/>
        <v>0</v>
      </c>
      <c r="E191" s="25">
        <f t="shared" si="4"/>
        <v>0</v>
      </c>
      <c r="F191" s="25">
        <f t="shared" si="4"/>
        <v>0</v>
      </c>
    </row>
    <row r="192" spans="1:6" ht="15">
      <c r="A192" s="23" t="s">
        <v>413</v>
      </c>
      <c r="B192" s="24" t="s">
        <v>204</v>
      </c>
      <c r="C192" s="25">
        <f t="shared" si="4"/>
        <v>0</v>
      </c>
      <c r="D192" s="25">
        <f t="shared" si="4"/>
        <v>0</v>
      </c>
      <c r="E192" s="25">
        <f t="shared" si="4"/>
        <v>0</v>
      </c>
      <c r="F192" s="25">
        <f t="shared" si="4"/>
        <v>0</v>
      </c>
    </row>
    <row r="193" spans="1:6" ht="15">
      <c r="A193" s="26" t="s">
        <v>427</v>
      </c>
      <c r="B193" s="27" t="s">
        <v>428</v>
      </c>
      <c r="C193" s="38"/>
      <c r="D193" s="38"/>
      <c r="E193" s="38"/>
      <c r="F193" s="38"/>
    </row>
    <row r="194" spans="1:6" ht="15">
      <c r="A194" s="90" t="s">
        <v>421</v>
      </c>
      <c r="B194" s="60" t="s">
        <v>209</v>
      </c>
      <c r="C194" s="61">
        <f>C195+C200</f>
        <v>2226.8</v>
      </c>
      <c r="D194" s="61">
        <f>D195+D200</f>
        <v>0</v>
      </c>
      <c r="E194" s="61">
        <f>E195+E200</f>
        <v>0</v>
      </c>
      <c r="F194" s="61">
        <f>F195+F200</f>
        <v>0</v>
      </c>
    </row>
    <row r="195" spans="1:6" ht="15">
      <c r="A195" s="82" t="s">
        <v>345</v>
      </c>
      <c r="B195" s="21" t="s">
        <v>218</v>
      </c>
      <c r="C195" s="22">
        <f>C196</f>
        <v>2226.8</v>
      </c>
      <c r="D195" s="22">
        <f>D196</f>
        <v>0</v>
      </c>
      <c r="E195" s="22">
        <f>E196</f>
        <v>0</v>
      </c>
      <c r="F195" s="22">
        <f>F196</f>
        <v>0</v>
      </c>
    </row>
    <row r="196" spans="1:6" ht="15">
      <c r="A196" s="63" t="s">
        <v>258</v>
      </c>
      <c r="B196" s="91" t="s">
        <v>219</v>
      </c>
      <c r="C196" s="32">
        <f>C197+C198+C199</f>
        <v>2226.8</v>
      </c>
      <c r="D196" s="32">
        <f>D197+D198+D199</f>
        <v>0</v>
      </c>
      <c r="E196" s="32">
        <f>E197+E198+E199</f>
        <v>0</v>
      </c>
      <c r="F196" s="32">
        <f>F197+F198+F199</f>
        <v>0</v>
      </c>
    </row>
    <row r="197" spans="1:6" ht="15">
      <c r="A197" s="66" t="s">
        <v>220</v>
      </c>
      <c r="B197" s="92" t="s">
        <v>221</v>
      </c>
      <c r="C197" s="39"/>
      <c r="D197" s="39"/>
      <c r="E197" s="39"/>
      <c r="F197" s="38"/>
    </row>
    <row r="198" spans="1:6" ht="15">
      <c r="A198" s="66" t="s">
        <v>264</v>
      </c>
      <c r="B198" s="92" t="s">
        <v>225</v>
      </c>
      <c r="C198" s="39"/>
      <c r="D198" s="39"/>
      <c r="E198" s="39"/>
      <c r="F198" s="38"/>
    </row>
    <row r="199" spans="1:6" ht="15">
      <c r="A199" s="66" t="s">
        <v>342</v>
      </c>
      <c r="B199" s="92" t="s">
        <v>227</v>
      </c>
      <c r="C199" s="39">
        <v>2226.8</v>
      </c>
      <c r="D199" s="39"/>
      <c r="E199" s="39"/>
      <c r="F199" s="38"/>
    </row>
    <row r="200" spans="1:6" ht="17.25" customHeight="1">
      <c r="A200" s="20" t="s">
        <v>231</v>
      </c>
      <c r="B200" s="62" t="s">
        <v>232</v>
      </c>
      <c r="C200" s="22"/>
      <c r="D200" s="22">
        <f>D201</f>
        <v>0</v>
      </c>
      <c r="E200" s="22">
        <f>+'[2]POSEBNI_DIO_dz vk'!C157+'[2]POSEBNI_DIO_dz vu'!C157+'[2]POSEBNI_DIO_ZHM VSŽ'!C157+'[2]POSEBNI_DIO_DZ ŽU'!C157+'[2]POSEBNI_DIO_ZZJZ VSŽ'!C157</f>
        <v>0</v>
      </c>
      <c r="F200" s="22">
        <f>F201</f>
        <v>0</v>
      </c>
    </row>
    <row r="201" spans="1:6" ht="15">
      <c r="A201" s="23" t="s">
        <v>233</v>
      </c>
      <c r="B201" s="24" t="s">
        <v>234</v>
      </c>
      <c r="C201" s="25"/>
      <c r="D201" s="25"/>
      <c r="E201" s="25"/>
      <c r="F201" s="93"/>
    </row>
    <row r="202" spans="1:6" ht="15">
      <c r="A202" s="26" t="s">
        <v>235</v>
      </c>
      <c r="B202" s="27" t="s">
        <v>234</v>
      </c>
      <c r="C202" s="38"/>
      <c r="D202" s="38"/>
      <c r="E202" s="38"/>
      <c r="F202" s="94"/>
    </row>
    <row r="203" spans="1:6" ht="20.25" customHeight="1">
      <c r="A203" s="78" t="s">
        <v>102</v>
      </c>
      <c r="B203" s="79" t="s">
        <v>103</v>
      </c>
      <c r="C203" s="80">
        <f>C204+C213</f>
        <v>0</v>
      </c>
      <c r="D203" s="80">
        <f>D204+D213</f>
        <v>0</v>
      </c>
      <c r="E203" s="80">
        <f>E204+E213</f>
        <v>1310</v>
      </c>
      <c r="F203" s="80">
        <f>F204+F213</f>
        <v>6310</v>
      </c>
    </row>
    <row r="204" spans="1:6" ht="15">
      <c r="A204" s="81" t="s">
        <v>121</v>
      </c>
      <c r="B204" s="60" t="s">
        <v>122</v>
      </c>
      <c r="C204" s="61">
        <f>C205</f>
        <v>0</v>
      </c>
      <c r="D204" s="61">
        <f>D205</f>
        <v>0</v>
      </c>
      <c r="E204" s="61">
        <f>E205</f>
        <v>1253.29</v>
      </c>
      <c r="F204" s="61">
        <f>F205</f>
        <v>1467.15</v>
      </c>
    </row>
    <row r="205" spans="1:6" ht="15">
      <c r="A205" s="20">
        <v>32</v>
      </c>
      <c r="B205" s="21" t="s">
        <v>137</v>
      </c>
      <c r="C205" s="22">
        <f>C206+C211</f>
        <v>0</v>
      </c>
      <c r="D205" s="22">
        <f>D206+D211</f>
        <v>0</v>
      </c>
      <c r="E205" s="22">
        <f>E206+E211</f>
        <v>1253.29</v>
      </c>
      <c r="F205" s="22">
        <f>F206+F208+F211</f>
        <v>1467.15</v>
      </c>
    </row>
    <row r="206" spans="1:6" ht="15">
      <c r="A206" s="23" t="s">
        <v>147</v>
      </c>
      <c r="B206" s="24" t="s">
        <v>148</v>
      </c>
      <c r="C206" s="25">
        <f>C207</f>
        <v>0</v>
      </c>
      <c r="D206" s="25">
        <f>D207</f>
        <v>0</v>
      </c>
      <c r="E206" s="25">
        <f>E207</f>
        <v>0</v>
      </c>
      <c r="F206" s="25">
        <f>F207</f>
        <v>460</v>
      </c>
    </row>
    <row r="207" spans="1:6" ht="15">
      <c r="A207" s="26" t="s">
        <v>151</v>
      </c>
      <c r="B207" s="27" t="s">
        <v>429</v>
      </c>
      <c r="C207" s="38"/>
      <c r="D207" s="38"/>
      <c r="E207" s="28"/>
      <c r="F207" s="29">
        <v>460</v>
      </c>
    </row>
    <row r="208" spans="1:6" ht="15">
      <c r="A208" s="23" t="s">
        <v>161</v>
      </c>
      <c r="B208" s="24" t="s">
        <v>162</v>
      </c>
      <c r="C208" s="25"/>
      <c r="D208" s="25"/>
      <c r="E208" s="32"/>
      <c r="F208" s="65">
        <f>F209+F210</f>
        <v>1007.15</v>
      </c>
    </row>
    <row r="209" spans="1:6" ht="15">
      <c r="A209" s="26" t="s">
        <v>167</v>
      </c>
      <c r="B209" s="27" t="s">
        <v>168</v>
      </c>
      <c r="C209" s="38"/>
      <c r="D209" s="38"/>
      <c r="E209" s="39"/>
      <c r="F209" s="29">
        <v>157.15</v>
      </c>
    </row>
    <row r="210" spans="1:6" ht="15">
      <c r="A210" s="26" t="s">
        <v>176</v>
      </c>
      <c r="B210" s="27" t="s">
        <v>348</v>
      </c>
      <c r="C210" s="38"/>
      <c r="D210" s="38"/>
      <c r="E210" s="39"/>
      <c r="F210" s="29">
        <v>850</v>
      </c>
    </row>
    <row r="211" spans="1:6" ht="15">
      <c r="A211" s="23" t="s">
        <v>254</v>
      </c>
      <c r="B211" s="24" t="s">
        <v>179</v>
      </c>
      <c r="C211" s="25">
        <f>C212</f>
        <v>0</v>
      </c>
      <c r="D211" s="25">
        <f>D212</f>
        <v>0</v>
      </c>
      <c r="E211" s="32">
        <f>E212</f>
        <v>1253.29</v>
      </c>
      <c r="F211" s="25">
        <f>F212</f>
        <v>0</v>
      </c>
    </row>
    <row r="212" spans="1:6" ht="15">
      <c r="A212" s="26" t="s">
        <v>187</v>
      </c>
      <c r="B212" s="27" t="s">
        <v>179</v>
      </c>
      <c r="C212" s="38"/>
      <c r="D212" s="38"/>
      <c r="E212" s="28">
        <v>1253.29</v>
      </c>
      <c r="F212" s="94">
        <v>0</v>
      </c>
    </row>
    <row r="213" spans="1:6" ht="15">
      <c r="A213" s="90" t="s">
        <v>421</v>
      </c>
      <c r="B213" s="60" t="s">
        <v>209</v>
      </c>
      <c r="C213" s="61">
        <f>C214</f>
        <v>0</v>
      </c>
      <c r="D213" s="61">
        <f>D214</f>
        <v>0</v>
      </c>
      <c r="E213" s="61">
        <f>E214</f>
        <v>56.71</v>
      </c>
      <c r="F213" s="61">
        <f>F214</f>
        <v>4842.85</v>
      </c>
    </row>
    <row r="214" spans="1:6" ht="15">
      <c r="A214" s="20">
        <v>42</v>
      </c>
      <c r="B214" s="21" t="s">
        <v>218</v>
      </c>
      <c r="C214" s="22">
        <f>C217</f>
        <v>0</v>
      </c>
      <c r="D214" s="22">
        <f>D217</f>
        <v>0</v>
      </c>
      <c r="E214" s="22">
        <f>E217</f>
        <v>56.71</v>
      </c>
      <c r="F214" s="22">
        <f>F215+F217</f>
        <v>4842.85</v>
      </c>
    </row>
    <row r="215" spans="1:6" ht="15">
      <c r="A215" s="63" t="s">
        <v>241</v>
      </c>
      <c r="B215" s="86" t="s">
        <v>242</v>
      </c>
      <c r="C215" s="95"/>
      <c r="D215" s="95"/>
      <c r="E215" s="95"/>
      <c r="F215" s="95">
        <f>F216</f>
        <v>2590.39</v>
      </c>
    </row>
    <row r="216" spans="1:6" ht="15">
      <c r="A216" s="66" t="s">
        <v>243</v>
      </c>
      <c r="B216" s="87" t="s">
        <v>244</v>
      </c>
      <c r="C216" s="95"/>
      <c r="D216" s="95"/>
      <c r="E216" s="95"/>
      <c r="F216" s="96">
        <v>2590.39</v>
      </c>
    </row>
    <row r="217" spans="1:6" ht="15">
      <c r="A217" s="23">
        <v>422</v>
      </c>
      <c r="B217" s="24" t="s">
        <v>219</v>
      </c>
      <c r="C217" s="25">
        <f>SUM(C218:C221)</f>
        <v>0</v>
      </c>
      <c r="D217" s="25">
        <f>SUM(D218:D221)</f>
        <v>0</v>
      </c>
      <c r="E217" s="25">
        <f>SUM(E218:E221)</f>
        <v>56.71</v>
      </c>
      <c r="F217" s="25">
        <f>SUM(F218:F221)</f>
        <v>2252.46</v>
      </c>
    </row>
    <row r="218" spans="1:6" ht="15">
      <c r="A218" s="26" t="s">
        <v>220</v>
      </c>
      <c r="B218" s="27" t="s">
        <v>221</v>
      </c>
      <c r="C218" s="38"/>
      <c r="D218" s="38"/>
      <c r="E218" s="38"/>
      <c r="F218" s="38"/>
    </row>
    <row r="219" spans="1:6" ht="15">
      <c r="A219" s="26" t="s">
        <v>263</v>
      </c>
      <c r="B219" s="27" t="s">
        <v>334</v>
      </c>
      <c r="C219" s="38"/>
      <c r="D219" s="38"/>
      <c r="E219" s="38"/>
      <c r="F219" s="38">
        <v>1996.46</v>
      </c>
    </row>
    <row r="220" spans="1:6" ht="15">
      <c r="A220" s="26" t="s">
        <v>264</v>
      </c>
      <c r="B220" s="27" t="s">
        <v>225</v>
      </c>
      <c r="C220" s="38"/>
      <c r="D220" s="38"/>
      <c r="E220" s="31">
        <v>56.71</v>
      </c>
      <c r="F220" s="37"/>
    </row>
    <row r="221" spans="1:6" ht="15">
      <c r="A221" s="26" t="s">
        <v>265</v>
      </c>
      <c r="B221" s="27" t="s">
        <v>226</v>
      </c>
      <c r="C221" s="38"/>
      <c r="D221" s="38"/>
      <c r="E221" s="38"/>
      <c r="F221" s="37">
        <v>256</v>
      </c>
    </row>
    <row r="222" spans="1:6" ht="34.5" customHeight="1">
      <c r="A222" s="78" t="s">
        <v>269</v>
      </c>
      <c r="B222" s="97" t="s">
        <v>270</v>
      </c>
      <c r="C222" s="80">
        <f>C223+C232</f>
        <v>3769.67</v>
      </c>
      <c r="D222" s="80">
        <f>D223+D232</f>
        <v>0</v>
      </c>
      <c r="E222" s="80">
        <f>E223+E232</f>
        <v>8000</v>
      </c>
      <c r="F222" s="80">
        <f>F223+F232</f>
        <v>16167.98</v>
      </c>
    </row>
    <row r="223" spans="1:6" ht="15">
      <c r="A223" s="81" t="s">
        <v>121</v>
      </c>
      <c r="B223" s="60" t="s">
        <v>122</v>
      </c>
      <c r="C223" s="61">
        <f>C224</f>
        <v>0</v>
      </c>
      <c r="D223" s="61">
        <f>D224</f>
        <v>0</v>
      </c>
      <c r="E223" s="61">
        <f>E224</f>
        <v>8000</v>
      </c>
      <c r="F223" s="61">
        <f>F224</f>
        <v>16167.98</v>
      </c>
    </row>
    <row r="224" spans="1:6" ht="15">
      <c r="A224" s="20">
        <v>32</v>
      </c>
      <c r="B224" s="21" t="s">
        <v>137</v>
      </c>
      <c r="C224" s="22">
        <f>C225+C228+C230</f>
        <v>0</v>
      </c>
      <c r="D224" s="22">
        <f>D225+D228</f>
        <v>0</v>
      </c>
      <c r="E224" s="22">
        <f>E225+E228</f>
        <v>8000</v>
      </c>
      <c r="F224" s="22">
        <f>F225+F228</f>
        <v>16167.98</v>
      </c>
    </row>
    <row r="225" spans="1:6" ht="15">
      <c r="A225" s="23" t="s">
        <v>147</v>
      </c>
      <c r="B225" s="56" t="s">
        <v>148</v>
      </c>
      <c r="C225" s="25">
        <f>C226+C227</f>
        <v>0</v>
      </c>
      <c r="D225" s="25">
        <f>D226+D227</f>
        <v>0</v>
      </c>
      <c r="E225" s="25">
        <f>E226+E227</f>
        <v>0</v>
      </c>
      <c r="F225" s="25">
        <f>F226+F227</f>
        <v>0</v>
      </c>
    </row>
    <row r="226" spans="1:6" ht="15">
      <c r="A226" s="26" t="s">
        <v>151</v>
      </c>
      <c r="B226" s="57" t="s">
        <v>148</v>
      </c>
      <c r="C226" s="38"/>
      <c r="D226" s="38"/>
      <c r="E226" s="28"/>
      <c r="F226" s="38"/>
    </row>
    <row r="227" spans="1:6" ht="15">
      <c r="A227" s="26" t="s">
        <v>155</v>
      </c>
      <c r="B227" s="57" t="s">
        <v>401</v>
      </c>
      <c r="C227" s="38"/>
      <c r="D227" s="38"/>
      <c r="E227" s="38"/>
      <c r="F227" s="98"/>
    </row>
    <row r="228" spans="1:6" ht="15">
      <c r="A228" s="23" t="s">
        <v>161</v>
      </c>
      <c r="B228" s="24" t="s">
        <v>162</v>
      </c>
      <c r="C228" s="25">
        <f>C229</f>
        <v>0</v>
      </c>
      <c r="D228" s="25">
        <f>D229</f>
        <v>0</v>
      </c>
      <c r="E228" s="25">
        <f>E229</f>
        <v>8000</v>
      </c>
      <c r="F228" s="25">
        <f>F229</f>
        <v>16167.98</v>
      </c>
    </row>
    <row r="229" spans="1:6" ht="15">
      <c r="A229" s="26" t="s">
        <v>165</v>
      </c>
      <c r="B229" s="27" t="s">
        <v>166</v>
      </c>
      <c r="C229" s="38"/>
      <c r="D229" s="38"/>
      <c r="E229" s="28">
        <v>8000</v>
      </c>
      <c r="F229" s="98">
        <v>16167.98</v>
      </c>
    </row>
    <row r="230" spans="1:6" ht="15">
      <c r="A230" s="23" t="s">
        <v>254</v>
      </c>
      <c r="B230" s="24" t="s">
        <v>255</v>
      </c>
      <c r="C230" s="25">
        <f>C231</f>
        <v>0</v>
      </c>
      <c r="D230" s="25">
        <f>D231</f>
        <v>0</v>
      </c>
      <c r="E230" s="25">
        <f>E231</f>
        <v>0</v>
      </c>
      <c r="F230" s="25">
        <f>F231</f>
        <v>0</v>
      </c>
    </row>
    <row r="231" spans="1:6" ht="15">
      <c r="A231" s="26" t="s">
        <v>266</v>
      </c>
      <c r="B231" s="27" t="s">
        <v>182</v>
      </c>
      <c r="C231" s="38"/>
      <c r="D231" s="38"/>
      <c r="E231" s="28"/>
      <c r="F231" s="98"/>
    </row>
    <row r="232" spans="1:6" ht="15">
      <c r="A232" s="99" t="s">
        <v>421</v>
      </c>
      <c r="B232" s="60" t="s">
        <v>209</v>
      </c>
      <c r="C232" s="61">
        <f>C233</f>
        <v>3769.67</v>
      </c>
      <c r="D232" s="61">
        <f>D233</f>
        <v>0</v>
      </c>
      <c r="E232" s="61">
        <f>E233</f>
        <v>0</v>
      </c>
      <c r="F232" s="61">
        <f>F233</f>
        <v>0</v>
      </c>
    </row>
    <row r="233" spans="1:6" ht="15">
      <c r="A233" s="20">
        <v>42</v>
      </c>
      <c r="B233" s="21" t="s">
        <v>218</v>
      </c>
      <c r="C233" s="22">
        <f>C236+C234</f>
        <v>3769.67</v>
      </c>
      <c r="D233" s="22">
        <f>D236+D234</f>
        <v>0</v>
      </c>
      <c r="E233" s="22">
        <f>E236</f>
        <v>0</v>
      </c>
      <c r="F233" s="22">
        <f>F234+F236+F242</f>
        <v>0</v>
      </c>
    </row>
    <row r="234" spans="1:6" ht="15">
      <c r="A234" s="63" t="s">
        <v>241</v>
      </c>
      <c r="B234" s="86" t="s">
        <v>242</v>
      </c>
      <c r="C234" s="32">
        <f>C235</f>
        <v>0</v>
      </c>
      <c r="D234" s="32">
        <f>D235</f>
        <v>0</v>
      </c>
      <c r="E234" s="32">
        <f>E235</f>
        <v>0</v>
      </c>
      <c r="F234" s="32">
        <f>F235</f>
        <v>0</v>
      </c>
    </row>
    <row r="235" spans="1:6" ht="15">
      <c r="A235" s="66" t="s">
        <v>243</v>
      </c>
      <c r="B235" s="87" t="s">
        <v>244</v>
      </c>
      <c r="C235" s="39"/>
      <c r="D235" s="39"/>
      <c r="E235" s="39"/>
      <c r="F235" s="39"/>
    </row>
    <row r="236" spans="1:6" ht="15">
      <c r="A236" s="23">
        <v>422</v>
      </c>
      <c r="B236" s="24" t="s">
        <v>219</v>
      </c>
      <c r="C236" s="25">
        <f>SUM(C237:C241)</f>
        <v>3769.67</v>
      </c>
      <c r="D236" s="25">
        <f>SUM(D237:D241)</f>
        <v>0</v>
      </c>
      <c r="E236" s="25">
        <f>SUM(E237:E241)</f>
        <v>0</v>
      </c>
      <c r="F236" s="25">
        <f>SUM(F237:F241)</f>
        <v>0</v>
      </c>
    </row>
    <row r="237" spans="1:6" ht="15">
      <c r="A237" s="26" t="s">
        <v>220</v>
      </c>
      <c r="B237" s="27" t="s">
        <v>221</v>
      </c>
      <c r="C237" s="38"/>
      <c r="D237" s="38"/>
      <c r="E237" s="38"/>
      <c r="F237" s="38"/>
    </row>
    <row r="238" spans="1:6" ht="15">
      <c r="A238" s="26" t="s">
        <v>222</v>
      </c>
      <c r="B238" s="27" t="s">
        <v>223</v>
      </c>
      <c r="C238" s="38"/>
      <c r="D238" s="38"/>
      <c r="E238" s="38"/>
      <c r="F238" s="38"/>
    </row>
    <row r="239" spans="1:6" ht="15">
      <c r="A239" s="26" t="s">
        <v>264</v>
      </c>
      <c r="B239" s="27" t="s">
        <v>225</v>
      </c>
      <c r="C239" s="38"/>
      <c r="D239" s="38"/>
      <c r="E239" s="31"/>
      <c r="F239" s="37"/>
    </row>
    <row r="240" spans="1:6" ht="15">
      <c r="A240" s="42">
        <v>4225</v>
      </c>
      <c r="B240" s="69" t="s">
        <v>226</v>
      </c>
      <c r="C240" s="25"/>
      <c r="D240" s="25"/>
      <c r="E240" s="25"/>
      <c r="F240" s="38"/>
    </row>
    <row r="241" spans="1:6" ht="15">
      <c r="A241" s="42">
        <v>4227</v>
      </c>
      <c r="B241" s="69" t="s">
        <v>227</v>
      </c>
      <c r="C241" s="38">
        <v>3769.67</v>
      </c>
      <c r="D241" s="38"/>
      <c r="E241" s="38"/>
      <c r="F241" s="38"/>
    </row>
    <row r="242" spans="1:6" ht="15">
      <c r="A242" s="46">
        <v>426</v>
      </c>
      <c r="B242" s="24" t="s">
        <v>335</v>
      </c>
      <c r="C242" s="25">
        <f>C243</f>
        <v>0</v>
      </c>
      <c r="D242" s="25">
        <f>D243</f>
        <v>0</v>
      </c>
      <c r="E242" s="25">
        <f>E243</f>
        <v>0</v>
      </c>
      <c r="F242" s="25">
        <f>F243</f>
        <v>0</v>
      </c>
    </row>
    <row r="243" spans="1:6" ht="15">
      <c r="A243" s="42">
        <v>4262</v>
      </c>
      <c r="B243" s="27" t="s">
        <v>426</v>
      </c>
      <c r="C243" s="38"/>
      <c r="D243" s="38"/>
      <c r="E243" s="38"/>
      <c r="F243" s="37"/>
    </row>
    <row r="244" spans="1:6" ht="18" customHeight="1">
      <c r="A244" s="78" t="s">
        <v>352</v>
      </c>
      <c r="B244" s="79" t="s">
        <v>430</v>
      </c>
      <c r="C244" s="80">
        <f>C245+C265</f>
        <v>424030.85000000003</v>
      </c>
      <c r="D244" s="80">
        <f>D245+D265</f>
        <v>936207.8400000001</v>
      </c>
      <c r="E244" s="80">
        <f>E245</f>
        <v>535544.42</v>
      </c>
      <c r="F244" s="80">
        <f>F245+F265</f>
        <v>518272.67000000004</v>
      </c>
    </row>
    <row r="245" spans="1:6" ht="15">
      <c r="A245" s="81" t="s">
        <v>121</v>
      </c>
      <c r="B245" s="60" t="s">
        <v>122</v>
      </c>
      <c r="C245" s="61">
        <f>C246+C251</f>
        <v>307246.78</v>
      </c>
      <c r="D245" s="61">
        <f>D246+D251</f>
        <v>913644.9600000001</v>
      </c>
      <c r="E245" s="61">
        <f>E246</f>
        <v>535544.42</v>
      </c>
      <c r="F245" s="61">
        <f>F246+F251</f>
        <v>518272.67000000004</v>
      </c>
    </row>
    <row r="246" spans="1:6" ht="15">
      <c r="A246" s="20">
        <v>31</v>
      </c>
      <c r="B246" s="21" t="s">
        <v>123</v>
      </c>
      <c r="C246" s="22">
        <f>C247+C249</f>
        <v>68863.31999999999</v>
      </c>
      <c r="D246" s="22">
        <f>D247</f>
        <v>265445.62</v>
      </c>
      <c r="E246" s="22">
        <f>E247+E253+E255</f>
        <v>535544.42</v>
      </c>
      <c r="F246" s="22">
        <f>F247+F253+F255</f>
        <v>0</v>
      </c>
    </row>
    <row r="247" spans="1:6" ht="15">
      <c r="A247" s="23">
        <v>311</v>
      </c>
      <c r="B247" s="24" t="s">
        <v>124</v>
      </c>
      <c r="C247" s="25">
        <f>C248</f>
        <v>66361.4</v>
      </c>
      <c r="D247" s="25">
        <f>D248</f>
        <v>265445.62</v>
      </c>
      <c r="E247" s="25">
        <f>E248+E251</f>
        <v>535544.42</v>
      </c>
      <c r="F247" s="25">
        <v>0</v>
      </c>
    </row>
    <row r="248" spans="1:6" ht="15">
      <c r="A248" s="26">
        <v>3111</v>
      </c>
      <c r="B248" s="27" t="s">
        <v>125</v>
      </c>
      <c r="C248" s="38">
        <v>66361.4</v>
      </c>
      <c r="D248" s="38">
        <v>265445.62</v>
      </c>
      <c r="E248" s="28">
        <v>0</v>
      </c>
      <c r="F248" s="37"/>
    </row>
    <row r="249" spans="1:6" ht="15">
      <c r="A249" s="23" t="s">
        <v>247</v>
      </c>
      <c r="B249" s="24" t="s">
        <v>135</v>
      </c>
      <c r="C249" s="25">
        <f>C250</f>
        <v>2501.92</v>
      </c>
      <c r="D249" s="38"/>
      <c r="E249" s="28"/>
      <c r="F249" s="37"/>
    </row>
    <row r="250" spans="1:6" ht="15">
      <c r="A250" s="26" t="s">
        <v>338</v>
      </c>
      <c r="B250" s="27" t="s">
        <v>339</v>
      </c>
      <c r="C250" s="38">
        <v>2501.92</v>
      </c>
      <c r="D250" s="38"/>
      <c r="E250" s="28"/>
      <c r="F250" s="37"/>
    </row>
    <row r="251" spans="1:6" ht="15">
      <c r="A251" s="20">
        <v>32</v>
      </c>
      <c r="B251" s="21" t="s">
        <v>137</v>
      </c>
      <c r="C251" s="22">
        <f>C252+C257+C261</f>
        <v>238383.46000000002</v>
      </c>
      <c r="D251" s="22">
        <f>D252+D257+D261</f>
        <v>648199.3400000001</v>
      </c>
      <c r="E251" s="22">
        <f>E252+E257</f>
        <v>535544.42</v>
      </c>
      <c r="F251" s="22">
        <f>F252+F257+F261</f>
        <v>518272.67000000004</v>
      </c>
    </row>
    <row r="252" spans="1:6" ht="15">
      <c r="A252" s="23" t="s">
        <v>147</v>
      </c>
      <c r="B252" s="56" t="s">
        <v>148</v>
      </c>
      <c r="C252" s="25">
        <f>C253+C254+C255+C256</f>
        <v>192094.95</v>
      </c>
      <c r="D252" s="25">
        <f>D253+D254+D255</f>
        <v>561929.52</v>
      </c>
      <c r="E252" s="25">
        <f>E253+E254</f>
        <v>456687.78</v>
      </c>
      <c r="F252" s="25">
        <f>F253+F254</f>
        <v>439416.03</v>
      </c>
    </row>
    <row r="253" spans="1:6" ht="15">
      <c r="A253" s="26" t="s">
        <v>149</v>
      </c>
      <c r="B253" s="27" t="s">
        <v>150</v>
      </c>
      <c r="C253" s="38"/>
      <c r="D253" s="38"/>
      <c r="E253" s="38"/>
      <c r="F253" s="37"/>
    </row>
    <row r="254" spans="1:6" ht="15">
      <c r="A254" s="26" t="s">
        <v>151</v>
      </c>
      <c r="B254" s="27" t="s">
        <v>152</v>
      </c>
      <c r="C254" s="38">
        <v>124406.32</v>
      </c>
      <c r="D254" s="38">
        <v>535384.96</v>
      </c>
      <c r="E254" s="38">
        <v>456687.78</v>
      </c>
      <c r="F254" s="37">
        <v>439416.03</v>
      </c>
    </row>
    <row r="255" spans="1:6" ht="15">
      <c r="A255" s="26" t="s">
        <v>153</v>
      </c>
      <c r="B255" s="27" t="s">
        <v>154</v>
      </c>
      <c r="C255" s="38">
        <v>66361.4</v>
      </c>
      <c r="D255" s="38">
        <v>26544.56</v>
      </c>
      <c r="E255" s="38"/>
      <c r="F255" s="37"/>
    </row>
    <row r="256" spans="1:6" ht="15">
      <c r="A256" s="26" t="s">
        <v>155</v>
      </c>
      <c r="B256" s="27" t="s">
        <v>401</v>
      </c>
      <c r="C256" s="38">
        <v>1327.23</v>
      </c>
      <c r="D256" s="38"/>
      <c r="E256" s="38"/>
      <c r="F256" s="37"/>
    </row>
    <row r="257" spans="1:6" ht="15">
      <c r="A257" s="23" t="s">
        <v>161</v>
      </c>
      <c r="B257" s="24" t="s">
        <v>162</v>
      </c>
      <c r="C257" s="25">
        <f>C259</f>
        <v>6636.14</v>
      </c>
      <c r="D257" s="25">
        <f>D258+D259</f>
        <v>66361.4</v>
      </c>
      <c r="E257" s="25">
        <f>E258+E259+E260</f>
        <v>78856.64</v>
      </c>
      <c r="F257" s="35">
        <f>F258+F260</f>
        <v>78856.64</v>
      </c>
    </row>
    <row r="258" spans="1:6" ht="15">
      <c r="A258" s="26" t="s">
        <v>165</v>
      </c>
      <c r="B258" s="27" t="s">
        <v>166</v>
      </c>
      <c r="C258" s="38"/>
      <c r="D258" s="38">
        <v>26544.56</v>
      </c>
      <c r="E258" s="38">
        <v>38856.64</v>
      </c>
      <c r="F258" s="37">
        <v>38856.64</v>
      </c>
    </row>
    <row r="259" spans="1:6" ht="15">
      <c r="A259" s="26" t="s">
        <v>169</v>
      </c>
      <c r="B259" s="27" t="s">
        <v>170</v>
      </c>
      <c r="C259" s="38">
        <v>6636.14</v>
      </c>
      <c r="D259" s="38">
        <v>39816.84</v>
      </c>
      <c r="E259" s="38"/>
      <c r="F259" s="37"/>
    </row>
    <row r="260" spans="1:6" ht="15">
      <c r="A260" s="26" t="s">
        <v>253</v>
      </c>
      <c r="B260" s="27" t="s">
        <v>173</v>
      </c>
      <c r="C260" s="38"/>
      <c r="D260" s="38"/>
      <c r="E260" s="38">
        <v>40000</v>
      </c>
      <c r="F260" s="37">
        <v>40000</v>
      </c>
    </row>
    <row r="261" spans="1:6" ht="15">
      <c r="A261" s="23" t="s">
        <v>254</v>
      </c>
      <c r="B261" s="24" t="s">
        <v>255</v>
      </c>
      <c r="C261" s="25">
        <f>C263+C264</f>
        <v>39652.37</v>
      </c>
      <c r="D261" s="25">
        <v>19908.42</v>
      </c>
      <c r="E261" s="25"/>
      <c r="F261" s="35"/>
    </row>
    <row r="262" spans="1:6" ht="15">
      <c r="A262" s="26" t="s">
        <v>266</v>
      </c>
      <c r="B262" s="27" t="s">
        <v>182</v>
      </c>
      <c r="C262" s="96"/>
      <c r="D262" s="96">
        <v>19908.42</v>
      </c>
      <c r="E262" s="96"/>
      <c r="F262" s="96"/>
    </row>
    <row r="263" spans="1:6" ht="15">
      <c r="A263" s="26" t="s">
        <v>351</v>
      </c>
      <c r="B263" s="27" t="s">
        <v>186</v>
      </c>
      <c r="C263" s="96">
        <v>38325.14</v>
      </c>
      <c r="D263" s="96"/>
      <c r="E263" s="96"/>
      <c r="F263" s="96"/>
    </row>
    <row r="264" spans="1:6" ht="15">
      <c r="A264" s="26" t="s">
        <v>187</v>
      </c>
      <c r="B264" s="27" t="s">
        <v>179</v>
      </c>
      <c r="C264" s="96">
        <v>1327.23</v>
      </c>
      <c r="D264" s="96"/>
      <c r="E264" s="96"/>
      <c r="F264" s="96"/>
    </row>
    <row r="265" spans="1:6" ht="15">
      <c r="A265" s="99" t="s">
        <v>421</v>
      </c>
      <c r="B265" s="60" t="s">
        <v>209</v>
      </c>
      <c r="C265" s="61">
        <f>C266</f>
        <v>116784.07</v>
      </c>
      <c r="D265" s="61">
        <f>D266</f>
        <v>22562.88</v>
      </c>
      <c r="E265" s="61">
        <f>E266</f>
        <v>633050</v>
      </c>
      <c r="F265" s="61">
        <f>F266</f>
        <v>0</v>
      </c>
    </row>
    <row r="266" spans="1:6" ht="15">
      <c r="A266" s="20">
        <v>42</v>
      </c>
      <c r="B266" s="21" t="s">
        <v>218</v>
      </c>
      <c r="C266" s="22">
        <f>C267+C269</f>
        <v>116784.07</v>
      </c>
      <c r="D266" s="22">
        <f>D272</f>
        <v>22562.88</v>
      </c>
      <c r="E266" s="22">
        <f>SUM(E272:E295)</f>
        <v>633050</v>
      </c>
      <c r="F266" s="22">
        <f>F267+F269</f>
        <v>0</v>
      </c>
    </row>
    <row r="267" spans="1:6" ht="15">
      <c r="A267" s="100" t="s">
        <v>241</v>
      </c>
      <c r="B267" s="101" t="s">
        <v>242</v>
      </c>
      <c r="C267" s="95">
        <f>C268</f>
        <v>12171.7</v>
      </c>
      <c r="D267" s="95"/>
      <c r="E267" s="95"/>
      <c r="F267" s="95"/>
    </row>
    <row r="268" spans="1:6" ht="15">
      <c r="A268" s="102" t="s">
        <v>243</v>
      </c>
      <c r="B268" s="103" t="s">
        <v>244</v>
      </c>
      <c r="C268" s="96">
        <v>12171.7</v>
      </c>
      <c r="D268" s="96"/>
      <c r="E268" s="96"/>
      <c r="F268" s="96"/>
    </row>
    <row r="269" spans="1:6" ht="15">
      <c r="A269" s="23">
        <v>422</v>
      </c>
      <c r="B269" s="24" t="s">
        <v>219</v>
      </c>
      <c r="C269" s="25">
        <f>C270+C271+C272+C273+C274</f>
        <v>104612.37000000001</v>
      </c>
      <c r="D269" s="25">
        <v>22562.88</v>
      </c>
      <c r="E269" s="88"/>
      <c r="F269" s="35"/>
    </row>
    <row r="270" spans="1:6" ht="15">
      <c r="A270" s="26" t="s">
        <v>220</v>
      </c>
      <c r="B270" s="27" t="s">
        <v>221</v>
      </c>
      <c r="C270" s="38">
        <v>42012.98</v>
      </c>
      <c r="D270" s="38"/>
      <c r="E270" s="31"/>
      <c r="F270" s="37"/>
    </row>
    <row r="271" spans="1:6" ht="15">
      <c r="A271" s="26" t="s">
        <v>222</v>
      </c>
      <c r="B271" s="27" t="s">
        <v>223</v>
      </c>
      <c r="C271" s="38">
        <v>938.35</v>
      </c>
      <c r="D271" s="38"/>
      <c r="E271" s="31"/>
      <c r="F271" s="37"/>
    </row>
    <row r="272" spans="1:6" ht="15">
      <c r="A272" s="26" t="s">
        <v>263</v>
      </c>
      <c r="B272" s="27" t="s">
        <v>334</v>
      </c>
      <c r="C272" s="38">
        <v>4300.35</v>
      </c>
      <c r="D272" s="38">
        <v>22562.88</v>
      </c>
      <c r="E272" s="31"/>
      <c r="F272" s="37"/>
    </row>
    <row r="273" spans="1:6" ht="15">
      <c r="A273" s="26" t="s">
        <v>264</v>
      </c>
      <c r="B273" s="27" t="s">
        <v>225</v>
      </c>
      <c r="C273" s="38">
        <v>48446.45</v>
      </c>
      <c r="D273" s="38"/>
      <c r="E273" s="31"/>
      <c r="F273" s="37"/>
    </row>
    <row r="274" spans="1:6" ht="18.75">
      <c r="A274" s="26" t="s">
        <v>342</v>
      </c>
      <c r="B274" s="27" t="s">
        <v>431</v>
      </c>
      <c r="C274" s="96">
        <v>8914.24</v>
      </c>
      <c r="D274" s="104"/>
      <c r="E274" s="104"/>
      <c r="F274" s="104"/>
    </row>
    <row r="275" spans="1:6" ht="36" customHeight="1">
      <c r="A275" s="105" t="s">
        <v>392</v>
      </c>
      <c r="B275" s="106" t="s">
        <v>432</v>
      </c>
      <c r="C275" s="13">
        <f>C276+C304</f>
        <v>12070.960000000001</v>
      </c>
      <c r="D275" s="13">
        <f>D276+D304</f>
        <v>132722.81</v>
      </c>
      <c r="E275" s="13">
        <f>E276+E304</f>
        <v>127175</v>
      </c>
      <c r="F275" s="13">
        <f>F276+F304</f>
        <v>100917.49999999999</v>
      </c>
    </row>
    <row r="276" spans="1:6" ht="21.75" customHeight="1">
      <c r="A276" s="78">
        <v>52</v>
      </c>
      <c r="B276" s="79" t="s">
        <v>259</v>
      </c>
      <c r="C276" s="80">
        <f>C277</f>
        <v>12070.960000000001</v>
      </c>
      <c r="D276" s="80">
        <f>D277</f>
        <v>19908.42</v>
      </c>
      <c r="E276" s="80">
        <f>E277</f>
        <v>101175</v>
      </c>
      <c r="F276" s="80">
        <f>F277</f>
        <v>100917.49999999999</v>
      </c>
    </row>
    <row r="277" spans="1:6" ht="15">
      <c r="A277" s="99" t="s">
        <v>121</v>
      </c>
      <c r="B277" s="107" t="s">
        <v>122</v>
      </c>
      <c r="C277" s="61">
        <f>C278+C287</f>
        <v>12070.960000000001</v>
      </c>
      <c r="D277" s="61">
        <f>D278+D287</f>
        <v>19908.42</v>
      </c>
      <c r="E277" s="61">
        <f>E278+E287</f>
        <v>101175</v>
      </c>
      <c r="F277" s="61">
        <f>F278+F287</f>
        <v>100917.49999999999</v>
      </c>
    </row>
    <row r="278" spans="1:6" ht="15">
      <c r="A278" s="20">
        <v>31</v>
      </c>
      <c r="B278" s="21" t="s">
        <v>123</v>
      </c>
      <c r="C278" s="22">
        <f>C279+C282+C284</f>
        <v>10442.18</v>
      </c>
      <c r="D278" s="22">
        <f>D279+D282+D284</f>
        <v>19908.42</v>
      </c>
      <c r="E278" s="22">
        <f>E279+E282+E284</f>
        <v>85000</v>
      </c>
      <c r="F278" s="22">
        <f>F279+F282+F284</f>
        <v>88710.88999999998</v>
      </c>
    </row>
    <row r="279" spans="1:6" ht="15">
      <c r="A279" s="23">
        <v>311</v>
      </c>
      <c r="B279" s="24" t="s">
        <v>124</v>
      </c>
      <c r="C279" s="25">
        <f>C280+C281</f>
        <v>8072.73</v>
      </c>
      <c r="D279" s="25">
        <f>D280+D281</f>
        <v>13272.28</v>
      </c>
      <c r="E279" s="25">
        <f>E280+E281</f>
        <v>72000</v>
      </c>
      <c r="F279" s="25">
        <f>F280+F281</f>
        <v>78346.18</v>
      </c>
    </row>
    <row r="280" spans="1:6" ht="15.75">
      <c r="A280" s="26">
        <v>3111</v>
      </c>
      <c r="B280" s="27" t="s">
        <v>125</v>
      </c>
      <c r="C280" s="38">
        <v>8072.73</v>
      </c>
      <c r="D280" s="108">
        <v>13272.28</v>
      </c>
      <c r="E280" s="28">
        <v>72000</v>
      </c>
      <c r="F280" s="38">
        <v>78346.18</v>
      </c>
    </row>
    <row r="281" spans="1:6" ht="15.75">
      <c r="A281" s="26" t="s">
        <v>130</v>
      </c>
      <c r="B281" s="27" t="s">
        <v>246</v>
      </c>
      <c r="C281" s="38"/>
      <c r="D281" s="108"/>
      <c r="E281" s="38"/>
      <c r="F281" s="38"/>
    </row>
    <row r="282" spans="1:6" ht="15">
      <c r="A282" s="23" t="s">
        <v>132</v>
      </c>
      <c r="B282" s="24" t="s">
        <v>133</v>
      </c>
      <c r="C282" s="25">
        <f>C283</f>
        <v>0</v>
      </c>
      <c r="D282" s="25">
        <f>D283</f>
        <v>0</v>
      </c>
      <c r="E282" s="25">
        <f>E283</f>
        <v>2000</v>
      </c>
      <c r="F282" s="25">
        <f>F283</f>
        <v>1800</v>
      </c>
    </row>
    <row r="283" spans="1:6" ht="15.75">
      <c r="A283" s="26" t="s">
        <v>134</v>
      </c>
      <c r="B283" s="27" t="s">
        <v>133</v>
      </c>
      <c r="C283" s="38"/>
      <c r="D283" s="108"/>
      <c r="E283" s="28">
        <v>2000</v>
      </c>
      <c r="F283" s="38">
        <v>1800</v>
      </c>
    </row>
    <row r="284" spans="1:6" ht="15">
      <c r="A284" s="33">
        <v>313</v>
      </c>
      <c r="B284" s="24" t="s">
        <v>135</v>
      </c>
      <c r="C284" s="25">
        <f>C285+C286</f>
        <v>2369.45</v>
      </c>
      <c r="D284" s="25">
        <f>D285+D286</f>
        <v>6636.139999999999</v>
      </c>
      <c r="E284" s="25">
        <f>E285+E286</f>
        <v>11000</v>
      </c>
      <c r="F284" s="25">
        <f>F285+F286</f>
        <v>8564.71</v>
      </c>
    </row>
    <row r="285" spans="1:6" ht="15.75">
      <c r="A285" s="36" t="s">
        <v>260</v>
      </c>
      <c r="B285" s="27" t="s">
        <v>261</v>
      </c>
      <c r="C285" s="38">
        <v>1298.33</v>
      </c>
      <c r="D285" s="108">
        <v>3981.68</v>
      </c>
      <c r="E285" s="38"/>
      <c r="F285" s="38"/>
    </row>
    <row r="286" spans="1:6" ht="15.75">
      <c r="A286" s="36">
        <v>3132</v>
      </c>
      <c r="B286" s="27" t="s">
        <v>136</v>
      </c>
      <c r="C286" s="38">
        <v>1071.12</v>
      </c>
      <c r="D286" s="108">
        <v>2654.46</v>
      </c>
      <c r="E286" s="28">
        <v>11000</v>
      </c>
      <c r="F286" s="38">
        <v>8564.71</v>
      </c>
    </row>
    <row r="287" spans="1:6" ht="15">
      <c r="A287" s="20">
        <v>32</v>
      </c>
      <c r="B287" s="21" t="s">
        <v>137</v>
      </c>
      <c r="C287" s="22">
        <f>C288+C292+C295</f>
        <v>1628.78</v>
      </c>
      <c r="D287" s="22">
        <f>D288+D292+D295</f>
        <v>0</v>
      </c>
      <c r="E287" s="22">
        <f>E288+E292+E295</f>
        <v>16175</v>
      </c>
      <c r="F287" s="22">
        <f>F288+F292+F295</f>
        <v>12206.609999999999</v>
      </c>
    </row>
    <row r="288" spans="1:6" ht="15">
      <c r="A288" s="23">
        <v>321</v>
      </c>
      <c r="B288" s="24" t="s">
        <v>138</v>
      </c>
      <c r="C288" s="25">
        <f>SUM(C289:C291)</f>
        <v>857.8199999999999</v>
      </c>
      <c r="D288" s="25">
        <f>SUM(D289:D291)</f>
        <v>0</v>
      </c>
      <c r="E288" s="25">
        <f>SUM(E289:E291)</f>
        <v>16100</v>
      </c>
      <c r="F288" s="25">
        <f>SUM(F289:F291)</f>
        <v>11534.71</v>
      </c>
    </row>
    <row r="289" spans="1:6" ht="15">
      <c r="A289" s="26" t="s">
        <v>139</v>
      </c>
      <c r="B289" s="27" t="s">
        <v>140</v>
      </c>
      <c r="C289" s="38"/>
      <c r="D289" s="38"/>
      <c r="E289" s="28">
        <v>200</v>
      </c>
      <c r="F289" s="38"/>
    </row>
    <row r="290" spans="1:6" ht="18.75" customHeight="1">
      <c r="A290" s="26" t="s">
        <v>141</v>
      </c>
      <c r="B290" s="40" t="s">
        <v>142</v>
      </c>
      <c r="C290" s="38">
        <v>326.93</v>
      </c>
      <c r="D290" s="38"/>
      <c r="E290" s="28">
        <v>11000</v>
      </c>
      <c r="F290" s="38">
        <v>6756.7</v>
      </c>
    </row>
    <row r="291" spans="1:6" ht="15.75" customHeight="1">
      <c r="A291" s="26" t="s">
        <v>143</v>
      </c>
      <c r="B291" s="40" t="s">
        <v>144</v>
      </c>
      <c r="C291" s="38">
        <v>530.89</v>
      </c>
      <c r="D291" s="108"/>
      <c r="E291" s="108">
        <v>4900</v>
      </c>
      <c r="F291" s="108">
        <v>4778.01</v>
      </c>
    </row>
    <row r="292" spans="1:6" ht="18" customHeight="1">
      <c r="A292" s="23" t="s">
        <v>147</v>
      </c>
      <c r="B292" s="41" t="s">
        <v>148</v>
      </c>
      <c r="C292" s="25">
        <f>C293+C294</f>
        <v>467.96</v>
      </c>
      <c r="D292" s="25">
        <f>D293</f>
        <v>0</v>
      </c>
      <c r="E292" s="25">
        <f>E293</f>
        <v>75</v>
      </c>
      <c r="F292" s="25">
        <f>F293</f>
        <v>74.66</v>
      </c>
    </row>
    <row r="293" spans="1:6" ht="18.75" customHeight="1">
      <c r="A293" s="26" t="s">
        <v>149</v>
      </c>
      <c r="B293" s="40" t="s">
        <v>150</v>
      </c>
      <c r="C293" s="38"/>
      <c r="D293" s="108"/>
      <c r="E293" s="108">
        <v>75</v>
      </c>
      <c r="F293" s="108">
        <v>74.66</v>
      </c>
    </row>
    <row r="294" spans="1:6" ht="15.75">
      <c r="A294" s="26" t="s">
        <v>153</v>
      </c>
      <c r="B294" s="40" t="s">
        <v>154</v>
      </c>
      <c r="C294" s="38">
        <v>467.96</v>
      </c>
      <c r="D294" s="108"/>
      <c r="E294" s="108"/>
      <c r="F294" s="108"/>
    </row>
    <row r="295" spans="1:6" ht="19.5" customHeight="1">
      <c r="A295" s="23" t="s">
        <v>161</v>
      </c>
      <c r="B295" s="41" t="s">
        <v>162</v>
      </c>
      <c r="C295" s="25">
        <f>C296+C297+C298+C299</f>
        <v>303</v>
      </c>
      <c r="D295" s="25">
        <f>D296+D297+D298+D299</f>
        <v>0</v>
      </c>
      <c r="E295" s="25">
        <f>E296+E297+E298+E299</f>
        <v>0</v>
      </c>
      <c r="F295" s="25">
        <f>F296+F297+F298+F299</f>
        <v>597.24</v>
      </c>
    </row>
    <row r="296" spans="1:6" ht="19.5" customHeight="1">
      <c r="A296" s="26" t="s">
        <v>163</v>
      </c>
      <c r="B296" s="40" t="s">
        <v>164</v>
      </c>
      <c r="C296" s="38">
        <v>54.14</v>
      </c>
      <c r="D296" s="108"/>
      <c r="E296" s="108"/>
      <c r="F296" s="108"/>
    </row>
    <row r="297" spans="1:6" ht="21" customHeight="1">
      <c r="A297" s="26" t="s">
        <v>167</v>
      </c>
      <c r="B297" s="40" t="s">
        <v>168</v>
      </c>
      <c r="C297" s="38">
        <v>248.86</v>
      </c>
      <c r="D297" s="108"/>
      <c r="E297" s="108"/>
      <c r="F297" s="108"/>
    </row>
    <row r="298" spans="1:6" ht="16.5" customHeight="1">
      <c r="A298" s="26" t="s">
        <v>253</v>
      </c>
      <c r="B298" s="40" t="s">
        <v>173</v>
      </c>
      <c r="C298" s="38"/>
      <c r="D298" s="108"/>
      <c r="E298" s="108"/>
      <c r="F298" s="108">
        <v>597.24</v>
      </c>
    </row>
    <row r="299" spans="1:6" ht="19.5" customHeight="1">
      <c r="A299" s="26" t="s">
        <v>176</v>
      </c>
      <c r="B299" s="40" t="s">
        <v>177</v>
      </c>
      <c r="C299" s="38"/>
      <c r="D299" s="108"/>
      <c r="E299" s="108"/>
      <c r="F299" s="108"/>
    </row>
    <row r="300" spans="1:6" ht="17.25" customHeight="1">
      <c r="A300" s="59">
        <v>4</v>
      </c>
      <c r="B300" s="60" t="s">
        <v>209</v>
      </c>
      <c r="C300" s="61">
        <f aca="true" t="shared" si="5" ref="C300:F302">SUM(C301)</f>
        <v>0</v>
      </c>
      <c r="D300" s="61">
        <f t="shared" si="5"/>
        <v>0</v>
      </c>
      <c r="E300" s="61">
        <f t="shared" si="5"/>
        <v>0</v>
      </c>
      <c r="F300" s="61">
        <f t="shared" si="5"/>
        <v>0</v>
      </c>
    </row>
    <row r="301" spans="1:6" ht="18" customHeight="1">
      <c r="A301" s="20" t="s">
        <v>231</v>
      </c>
      <c r="B301" s="62" t="s">
        <v>232</v>
      </c>
      <c r="C301" s="22">
        <f t="shared" si="5"/>
        <v>0</v>
      </c>
      <c r="D301" s="22">
        <f t="shared" si="5"/>
        <v>0</v>
      </c>
      <c r="E301" s="22">
        <f t="shared" si="5"/>
        <v>0</v>
      </c>
      <c r="F301" s="22">
        <f t="shared" si="5"/>
        <v>0</v>
      </c>
    </row>
    <row r="302" spans="1:6" ht="15">
      <c r="A302" s="23" t="s">
        <v>233</v>
      </c>
      <c r="B302" s="24" t="s">
        <v>234</v>
      </c>
      <c r="C302" s="25">
        <f t="shared" si="5"/>
        <v>0</v>
      </c>
      <c r="D302" s="25">
        <f t="shared" si="5"/>
        <v>0</v>
      </c>
      <c r="E302" s="25">
        <f t="shared" si="5"/>
        <v>0</v>
      </c>
      <c r="F302" s="25">
        <f t="shared" si="5"/>
        <v>0</v>
      </c>
    </row>
    <row r="303" spans="1:6" ht="15.75">
      <c r="A303" s="26" t="s">
        <v>235</v>
      </c>
      <c r="B303" s="27" t="s">
        <v>234</v>
      </c>
      <c r="C303" s="38"/>
      <c r="D303" s="108"/>
      <c r="E303" s="38"/>
      <c r="F303" s="94"/>
    </row>
    <row r="304" spans="1:6" ht="21" customHeight="1">
      <c r="A304" s="78" t="s">
        <v>96</v>
      </c>
      <c r="B304" s="79" t="s">
        <v>245</v>
      </c>
      <c r="C304" s="80">
        <f>C305</f>
        <v>0</v>
      </c>
      <c r="D304" s="80">
        <f>D305</f>
        <v>112814.38999999998</v>
      </c>
      <c r="E304" s="80">
        <f>E305</f>
        <v>26000</v>
      </c>
      <c r="F304" s="80">
        <f>F305</f>
        <v>0</v>
      </c>
    </row>
    <row r="305" spans="1:6" ht="15.75">
      <c r="A305" s="99" t="s">
        <v>121</v>
      </c>
      <c r="B305" s="107" t="s">
        <v>122</v>
      </c>
      <c r="C305" s="19">
        <f>C306+C314</f>
        <v>0</v>
      </c>
      <c r="D305" s="19">
        <f>D306+D314</f>
        <v>112814.38999999998</v>
      </c>
      <c r="E305" s="19">
        <f>E306+E314</f>
        <v>26000</v>
      </c>
      <c r="F305" s="19">
        <f>F306+F314</f>
        <v>0</v>
      </c>
    </row>
    <row r="306" spans="1:6" ht="15">
      <c r="A306" s="20">
        <v>31</v>
      </c>
      <c r="B306" s="21" t="s">
        <v>123</v>
      </c>
      <c r="C306" s="22">
        <f>C307+C309+C311</f>
        <v>0</v>
      </c>
      <c r="D306" s="22">
        <f>D307+D309+D311</f>
        <v>98214.87999999999</v>
      </c>
      <c r="E306" s="22">
        <f>E307+E309+E311</f>
        <v>21000</v>
      </c>
      <c r="F306" s="22">
        <f>F307+F309+F311</f>
        <v>0</v>
      </c>
    </row>
    <row r="307" spans="1:6" ht="15">
      <c r="A307" s="23">
        <v>311</v>
      </c>
      <c r="B307" s="24" t="s">
        <v>124</v>
      </c>
      <c r="C307" s="25">
        <f>C308</f>
        <v>0</v>
      </c>
      <c r="D307" s="25">
        <f>D308</f>
        <v>72997.54</v>
      </c>
      <c r="E307" s="25">
        <f>E308</f>
        <v>18000</v>
      </c>
      <c r="F307" s="25">
        <f>F308</f>
        <v>0</v>
      </c>
    </row>
    <row r="308" spans="1:6" ht="15">
      <c r="A308" s="26">
        <v>3111</v>
      </c>
      <c r="B308" s="27" t="s">
        <v>125</v>
      </c>
      <c r="C308" s="38"/>
      <c r="D308" s="38">
        <v>72997.54</v>
      </c>
      <c r="E308" s="28">
        <v>18000</v>
      </c>
      <c r="F308" s="94">
        <v>0</v>
      </c>
    </row>
    <row r="309" spans="1:6" ht="15">
      <c r="A309" s="23" t="s">
        <v>132</v>
      </c>
      <c r="B309" s="24" t="s">
        <v>133</v>
      </c>
      <c r="C309" s="25">
        <f>C310</f>
        <v>0</v>
      </c>
      <c r="D309" s="25">
        <f>D310</f>
        <v>5972.53</v>
      </c>
      <c r="E309" s="25">
        <f>E310</f>
        <v>0</v>
      </c>
      <c r="F309" s="25">
        <f>F310</f>
        <v>0</v>
      </c>
    </row>
    <row r="310" spans="1:6" ht="15">
      <c r="A310" s="26" t="s">
        <v>134</v>
      </c>
      <c r="B310" s="27" t="s">
        <v>133</v>
      </c>
      <c r="C310" s="38"/>
      <c r="D310" s="38">
        <v>5972.53</v>
      </c>
      <c r="E310" s="28"/>
      <c r="F310" s="94"/>
    </row>
    <row r="311" spans="1:6" ht="15">
      <c r="A311" s="23" t="s">
        <v>247</v>
      </c>
      <c r="B311" s="24" t="s">
        <v>135</v>
      </c>
      <c r="C311" s="25">
        <f>C313</f>
        <v>0</v>
      </c>
      <c r="D311" s="25">
        <f>D312+D313</f>
        <v>19244.809999999998</v>
      </c>
      <c r="E311" s="25">
        <f>E313</f>
        <v>3000</v>
      </c>
      <c r="F311" s="25">
        <f>F313</f>
        <v>0</v>
      </c>
    </row>
    <row r="312" spans="1:6" ht="15">
      <c r="A312" s="26" t="s">
        <v>260</v>
      </c>
      <c r="B312" s="27" t="s">
        <v>261</v>
      </c>
      <c r="C312" s="38"/>
      <c r="D312" s="38">
        <v>9954.21</v>
      </c>
      <c r="E312" s="38"/>
      <c r="F312" s="38"/>
    </row>
    <row r="313" spans="1:6" ht="15">
      <c r="A313" s="26" t="s">
        <v>248</v>
      </c>
      <c r="B313" s="27" t="s">
        <v>136</v>
      </c>
      <c r="C313" s="38"/>
      <c r="D313" s="38">
        <v>9290.6</v>
      </c>
      <c r="E313" s="28">
        <v>3000</v>
      </c>
      <c r="F313" s="94">
        <v>0</v>
      </c>
    </row>
    <row r="314" spans="1:6" ht="15.75">
      <c r="A314" s="20" t="s">
        <v>433</v>
      </c>
      <c r="B314" s="83" t="s">
        <v>137</v>
      </c>
      <c r="C314" s="22">
        <f>C315+C317+C319</f>
        <v>0</v>
      </c>
      <c r="D314" s="22">
        <f>D315+D317+D319</f>
        <v>14599.510000000002</v>
      </c>
      <c r="E314" s="109">
        <f>E315+E317+E319</f>
        <v>5000</v>
      </c>
      <c r="F314" s="109">
        <f>F315+F317+F319</f>
        <v>0</v>
      </c>
    </row>
    <row r="315" spans="1:6" ht="15">
      <c r="A315" s="23" t="s">
        <v>250</v>
      </c>
      <c r="B315" s="24" t="s">
        <v>138</v>
      </c>
      <c r="C315" s="25">
        <f>C316</f>
        <v>0</v>
      </c>
      <c r="D315" s="25">
        <f>D316</f>
        <v>9290.6</v>
      </c>
      <c r="E315" s="25">
        <f>E316</f>
        <v>5000</v>
      </c>
      <c r="F315" s="25">
        <f>F316</f>
        <v>0</v>
      </c>
    </row>
    <row r="316" spans="1:6" ht="15">
      <c r="A316" s="26" t="s">
        <v>141</v>
      </c>
      <c r="B316" s="27" t="s">
        <v>142</v>
      </c>
      <c r="C316" s="38"/>
      <c r="D316" s="38">
        <v>9290.6</v>
      </c>
      <c r="E316" s="28">
        <v>5000</v>
      </c>
      <c r="F316" s="94">
        <v>0</v>
      </c>
    </row>
    <row r="317" spans="1:6" ht="15">
      <c r="A317" s="23" t="s">
        <v>147</v>
      </c>
      <c r="B317" s="24" t="s">
        <v>148</v>
      </c>
      <c r="C317" s="25">
        <f>C318</f>
        <v>0</v>
      </c>
      <c r="D317" s="25">
        <f>D318</f>
        <v>4645.3</v>
      </c>
      <c r="E317" s="25">
        <f>E318</f>
        <v>0</v>
      </c>
      <c r="F317" s="25">
        <f>F318</f>
        <v>0</v>
      </c>
    </row>
    <row r="318" spans="1:6" ht="15">
      <c r="A318" s="26" t="s">
        <v>153</v>
      </c>
      <c r="B318" s="27" t="s">
        <v>154</v>
      </c>
      <c r="C318" s="38"/>
      <c r="D318" s="38">
        <v>4645.3</v>
      </c>
      <c r="E318" s="28"/>
      <c r="F318" s="94"/>
    </row>
    <row r="319" spans="1:6" ht="15">
      <c r="A319" s="23" t="s">
        <v>161</v>
      </c>
      <c r="B319" s="24" t="s">
        <v>162</v>
      </c>
      <c r="C319" s="25">
        <f>C321</f>
        <v>0</v>
      </c>
      <c r="D319" s="25">
        <f>D321</f>
        <v>663.61</v>
      </c>
      <c r="E319" s="25">
        <f>E321</f>
        <v>0</v>
      </c>
      <c r="F319" s="25">
        <f>F321</f>
        <v>0</v>
      </c>
    </row>
    <row r="320" spans="1:6" ht="15">
      <c r="A320" s="26" t="s">
        <v>167</v>
      </c>
      <c r="B320" s="27" t="s">
        <v>168</v>
      </c>
      <c r="C320" s="25"/>
      <c r="D320" s="25">
        <v>663.61</v>
      </c>
      <c r="E320" s="25"/>
      <c r="F320" s="25"/>
    </row>
    <row r="321" spans="1:6" ht="15">
      <c r="A321" s="26" t="s">
        <v>253</v>
      </c>
      <c r="B321" s="27" t="s">
        <v>344</v>
      </c>
      <c r="C321" s="38"/>
      <c r="D321" s="38">
        <v>663.61</v>
      </c>
      <c r="E321" s="28"/>
      <c r="F321" s="94">
        <v>0</v>
      </c>
    </row>
    <row r="322" spans="1:6" ht="39.75" customHeight="1">
      <c r="A322" s="105" t="s">
        <v>392</v>
      </c>
      <c r="B322" s="106" t="s">
        <v>434</v>
      </c>
      <c r="C322" s="13">
        <f>C323</f>
        <v>445702.03</v>
      </c>
      <c r="D322" s="13">
        <f>D323</f>
        <v>512063.44</v>
      </c>
      <c r="E322" s="13">
        <f>E323</f>
        <v>512063.43999999994</v>
      </c>
      <c r="F322" s="13">
        <f>F323</f>
        <v>512063.43999999994</v>
      </c>
    </row>
    <row r="323" spans="1:6" ht="20.25" customHeight="1">
      <c r="A323" s="78" t="s">
        <v>347</v>
      </c>
      <c r="B323" s="79" t="s">
        <v>435</v>
      </c>
      <c r="C323" s="80">
        <f>C324+C330</f>
        <v>445702.03</v>
      </c>
      <c r="D323" s="80">
        <f>D324+D330</f>
        <v>512063.44</v>
      </c>
      <c r="E323" s="80">
        <f>E324+E330</f>
        <v>512063.43999999994</v>
      </c>
      <c r="F323" s="80">
        <f>F324+F330</f>
        <v>512063.43999999994</v>
      </c>
    </row>
    <row r="324" spans="1:6" ht="15">
      <c r="A324" s="99" t="s">
        <v>121</v>
      </c>
      <c r="B324" s="107" t="s">
        <v>122</v>
      </c>
      <c r="C324" s="61">
        <f>C325+C336</f>
        <v>133282.63</v>
      </c>
      <c r="D324" s="61">
        <f>D325+D336</f>
        <v>142032.25</v>
      </c>
      <c r="E324" s="61">
        <f>E325+E336</f>
        <v>129904.53</v>
      </c>
      <c r="F324" s="61">
        <f>F325</f>
        <v>129904.53</v>
      </c>
    </row>
    <row r="325" spans="1:6" ht="15">
      <c r="A325" s="20">
        <v>32</v>
      </c>
      <c r="B325" s="21" t="s">
        <v>137</v>
      </c>
      <c r="C325" s="22">
        <f>C326+C328</f>
        <v>133282.63</v>
      </c>
      <c r="D325" s="22">
        <f>D326+D328</f>
        <v>142032.25</v>
      </c>
      <c r="E325" s="22">
        <f>E326+E328</f>
        <v>129904.53</v>
      </c>
      <c r="F325" s="22">
        <f>F326+F328</f>
        <v>129904.53</v>
      </c>
    </row>
    <row r="326" spans="1:6" ht="15">
      <c r="A326" s="23" t="s">
        <v>147</v>
      </c>
      <c r="B326" s="24" t="s">
        <v>148</v>
      </c>
      <c r="C326" s="25">
        <f>C327</f>
        <v>8709.74</v>
      </c>
      <c r="D326" s="25">
        <f>D327</f>
        <v>5308.91</v>
      </c>
      <c r="E326" s="25">
        <f>E327</f>
        <v>6761.17</v>
      </c>
      <c r="F326" s="25">
        <f>F327</f>
        <v>6761.17</v>
      </c>
    </row>
    <row r="327" spans="1:6" ht="15">
      <c r="A327" s="26" t="s">
        <v>155</v>
      </c>
      <c r="B327" s="27" t="s">
        <v>156</v>
      </c>
      <c r="C327" s="38">
        <v>8709.74</v>
      </c>
      <c r="D327" s="38">
        <v>5308.91</v>
      </c>
      <c r="E327" s="28">
        <v>6761.17</v>
      </c>
      <c r="F327" s="38">
        <v>6761.17</v>
      </c>
    </row>
    <row r="328" spans="1:6" ht="15">
      <c r="A328" s="23" t="s">
        <v>161</v>
      </c>
      <c r="B328" s="24" t="s">
        <v>162</v>
      </c>
      <c r="C328" s="25">
        <f>C329</f>
        <v>124572.89</v>
      </c>
      <c r="D328" s="25">
        <f>D329</f>
        <v>136723.34</v>
      </c>
      <c r="E328" s="110">
        <f>E329</f>
        <v>123143.36</v>
      </c>
      <c r="F328" s="25">
        <f>F329</f>
        <v>123143.36</v>
      </c>
    </row>
    <row r="329" spans="1:6" ht="15">
      <c r="A329" s="26" t="s">
        <v>165</v>
      </c>
      <c r="B329" s="27" t="s">
        <v>166</v>
      </c>
      <c r="C329" s="38">
        <v>124572.89</v>
      </c>
      <c r="D329" s="38">
        <v>136723.34</v>
      </c>
      <c r="E329" s="28">
        <v>123143.36</v>
      </c>
      <c r="F329" s="38">
        <v>123143.36</v>
      </c>
    </row>
    <row r="330" spans="1:6" ht="15">
      <c r="A330" s="59">
        <v>4</v>
      </c>
      <c r="B330" s="60" t="s">
        <v>209</v>
      </c>
      <c r="C330" s="61">
        <f>SUM(C331)</f>
        <v>312419.4</v>
      </c>
      <c r="D330" s="61">
        <f>SUM(D331)</f>
        <v>370031.19</v>
      </c>
      <c r="E330" s="61">
        <f>SUM(E331)</f>
        <v>382158.91</v>
      </c>
      <c r="F330" s="61">
        <f>SUM(F331)</f>
        <v>382158.91</v>
      </c>
    </row>
    <row r="331" spans="1:6" ht="15">
      <c r="A331" s="20">
        <v>42</v>
      </c>
      <c r="B331" s="21" t="s">
        <v>218</v>
      </c>
      <c r="C331" s="22">
        <f>C334+C332</f>
        <v>312419.4</v>
      </c>
      <c r="D331" s="22">
        <f>D334+D332</f>
        <v>370031.19</v>
      </c>
      <c r="E331" s="22">
        <f>E332+E334</f>
        <v>382158.91</v>
      </c>
      <c r="F331" s="22">
        <f>F332+F334</f>
        <v>382158.91</v>
      </c>
    </row>
    <row r="332" spans="1:6" ht="15">
      <c r="A332" s="63" t="s">
        <v>241</v>
      </c>
      <c r="B332" s="86" t="s">
        <v>242</v>
      </c>
      <c r="C332" s="32">
        <f>C333</f>
        <v>231126.68</v>
      </c>
      <c r="D332" s="32">
        <f>D333</f>
        <v>301015.33</v>
      </c>
      <c r="E332" s="32">
        <f>E333</f>
        <v>320399.86</v>
      </c>
      <c r="F332" s="32">
        <f>F333</f>
        <v>320399.86</v>
      </c>
    </row>
    <row r="333" spans="1:6" ht="15">
      <c r="A333" s="66" t="s">
        <v>243</v>
      </c>
      <c r="B333" s="87" t="s">
        <v>244</v>
      </c>
      <c r="C333" s="39">
        <v>231126.68</v>
      </c>
      <c r="D333" s="39">
        <v>301015.33</v>
      </c>
      <c r="E333" s="39">
        <v>320399.86</v>
      </c>
      <c r="F333" s="39">
        <v>320399.86</v>
      </c>
    </row>
    <row r="334" spans="1:6" ht="15">
      <c r="A334" s="23">
        <v>422</v>
      </c>
      <c r="B334" s="24" t="s">
        <v>219</v>
      </c>
      <c r="C334" s="25">
        <f>SUM(C335:C337)</f>
        <v>81292.72</v>
      </c>
      <c r="D334" s="25">
        <f>SUM(D335:D337)</f>
        <v>69015.86</v>
      </c>
      <c r="E334" s="25">
        <f>SUM(E335:E337)</f>
        <v>61759.05</v>
      </c>
      <c r="F334" s="25">
        <f>SUM(F335:F337)</f>
        <v>61759.05</v>
      </c>
    </row>
    <row r="335" spans="1:6" ht="15">
      <c r="A335" s="26" t="s">
        <v>220</v>
      </c>
      <c r="B335" s="27" t="s">
        <v>221</v>
      </c>
      <c r="C335" s="38"/>
      <c r="D335" s="38">
        <v>31853.47</v>
      </c>
      <c r="E335" s="38">
        <v>33794.64</v>
      </c>
      <c r="F335" s="38">
        <v>33794.64</v>
      </c>
    </row>
    <row r="336" spans="1:6" ht="15">
      <c r="A336" s="26" t="s">
        <v>222</v>
      </c>
      <c r="B336" s="27" t="s">
        <v>223</v>
      </c>
      <c r="C336" s="38"/>
      <c r="D336" s="38"/>
      <c r="E336" s="38"/>
      <c r="F336" s="38">
        <v>0</v>
      </c>
    </row>
    <row r="337" spans="1:6" ht="15">
      <c r="A337" s="26" t="s">
        <v>264</v>
      </c>
      <c r="B337" s="27" t="s">
        <v>225</v>
      </c>
      <c r="C337" s="38">
        <v>81292.72</v>
      </c>
      <c r="D337" s="38">
        <v>37162.39</v>
      </c>
      <c r="E337" s="31">
        <v>27964.41</v>
      </c>
      <c r="F337" s="37">
        <v>27964.41</v>
      </c>
    </row>
    <row r="338" spans="1:6" ht="15.75" customHeight="1">
      <c r="A338" s="20" t="s">
        <v>231</v>
      </c>
      <c r="B338" s="62" t="s">
        <v>232</v>
      </c>
      <c r="C338" s="22">
        <f aca="true" t="shared" si="6" ref="C338:F339">SUM(C339)</f>
        <v>0</v>
      </c>
      <c r="D338" s="22">
        <f t="shared" si="6"/>
        <v>0</v>
      </c>
      <c r="E338" s="22">
        <f t="shared" si="6"/>
        <v>0</v>
      </c>
      <c r="F338" s="22">
        <f t="shared" si="6"/>
        <v>0</v>
      </c>
    </row>
    <row r="339" spans="1:6" ht="15">
      <c r="A339" s="23" t="s">
        <v>233</v>
      </c>
      <c r="B339" s="24" t="s">
        <v>234</v>
      </c>
      <c r="C339" s="25">
        <f t="shared" si="6"/>
        <v>0</v>
      </c>
      <c r="D339" s="25">
        <f t="shared" si="6"/>
        <v>0</v>
      </c>
      <c r="E339" s="25">
        <f t="shared" si="6"/>
        <v>0</v>
      </c>
      <c r="F339" s="25">
        <f t="shared" si="6"/>
        <v>0</v>
      </c>
    </row>
    <row r="340" spans="1:6" ht="15.75">
      <c r="A340" s="26" t="s">
        <v>235</v>
      </c>
      <c r="B340" s="27" t="s">
        <v>234</v>
      </c>
      <c r="C340" s="38"/>
      <c r="D340" s="108"/>
      <c r="E340" s="38"/>
      <c r="F340" s="94"/>
    </row>
    <row r="341" spans="1:6" ht="36" customHeight="1">
      <c r="A341" s="105" t="s">
        <v>392</v>
      </c>
      <c r="B341" s="106" t="s">
        <v>436</v>
      </c>
      <c r="C341" s="13">
        <f>C342</f>
        <v>1990.8400000000001</v>
      </c>
      <c r="D341" s="13">
        <f>D342</f>
        <v>2654.46</v>
      </c>
      <c r="E341" s="13">
        <f>E342</f>
        <v>2200</v>
      </c>
      <c r="F341" s="13">
        <f>F342</f>
        <v>2200</v>
      </c>
    </row>
    <row r="342" spans="1:6" ht="18.75" customHeight="1">
      <c r="A342" s="111" t="s">
        <v>347</v>
      </c>
      <c r="B342" s="112" t="s">
        <v>115</v>
      </c>
      <c r="C342" s="80">
        <f>C343</f>
        <v>1990.8400000000001</v>
      </c>
      <c r="D342" s="80">
        <f>D343</f>
        <v>2654.46</v>
      </c>
      <c r="E342" s="80">
        <f>E358</f>
        <v>2200</v>
      </c>
      <c r="F342" s="80">
        <f>F343+F358</f>
        <v>2200</v>
      </c>
    </row>
    <row r="343" spans="1:6" ht="15">
      <c r="A343" s="99" t="s">
        <v>121</v>
      </c>
      <c r="B343" s="107" t="s">
        <v>122</v>
      </c>
      <c r="C343" s="61">
        <f>C344+C350</f>
        <v>1990.8400000000001</v>
      </c>
      <c r="D343" s="61">
        <f>D344</f>
        <v>2654.46</v>
      </c>
      <c r="E343" s="61">
        <f>E344</f>
        <v>0</v>
      </c>
      <c r="F343" s="61">
        <f>F344+F350</f>
        <v>1111.3500000000001</v>
      </c>
    </row>
    <row r="344" spans="1:6" ht="15">
      <c r="A344" s="20">
        <v>31</v>
      </c>
      <c r="B344" s="21" t="s">
        <v>123</v>
      </c>
      <c r="C344" s="22">
        <f>C345+C347</f>
        <v>1684.75</v>
      </c>
      <c r="D344" s="22">
        <f>D345+D347</f>
        <v>2654.46</v>
      </c>
      <c r="E344" s="22">
        <f>E345+E348</f>
        <v>0</v>
      </c>
      <c r="F344" s="22">
        <f>F345+F348</f>
        <v>0</v>
      </c>
    </row>
    <row r="345" spans="1:6" ht="15.75">
      <c r="A345" s="23">
        <v>311</v>
      </c>
      <c r="B345" s="24" t="s">
        <v>124</v>
      </c>
      <c r="C345" s="113">
        <f>C346</f>
        <v>890.67</v>
      </c>
      <c r="D345" s="113">
        <f>D346</f>
        <v>1725.4</v>
      </c>
      <c r="E345" s="113">
        <f>E346+E347</f>
        <v>0</v>
      </c>
      <c r="F345" s="25">
        <f>SUM(F346:F347)</f>
        <v>0</v>
      </c>
    </row>
    <row r="346" spans="1:6" ht="15.75">
      <c r="A346" s="26">
        <v>3111</v>
      </c>
      <c r="B346" s="27" t="s">
        <v>125</v>
      </c>
      <c r="C346" s="38">
        <v>890.67</v>
      </c>
      <c r="D346" s="108">
        <v>1725.4</v>
      </c>
      <c r="E346" s="38"/>
      <c r="F346" s="38"/>
    </row>
    <row r="347" spans="1:6" ht="15">
      <c r="A347" s="33">
        <v>313</v>
      </c>
      <c r="B347" s="24" t="s">
        <v>135</v>
      </c>
      <c r="C347" s="25">
        <f>C348+C349</f>
        <v>794.0799999999999</v>
      </c>
      <c r="D347" s="25">
        <f>D348+D349</f>
        <v>929.06</v>
      </c>
      <c r="E347" s="25">
        <f>E348+E357</f>
        <v>0</v>
      </c>
      <c r="F347" s="25">
        <f>F348+F349</f>
        <v>0</v>
      </c>
    </row>
    <row r="348" spans="1:6" ht="15">
      <c r="A348" s="36" t="s">
        <v>260</v>
      </c>
      <c r="B348" s="27" t="s">
        <v>261</v>
      </c>
      <c r="C348" s="38">
        <v>452.62</v>
      </c>
      <c r="D348" s="38">
        <v>530.89</v>
      </c>
      <c r="E348" s="38"/>
      <c r="F348" s="38"/>
    </row>
    <row r="349" spans="1:6" ht="15">
      <c r="A349" s="36">
        <v>3132</v>
      </c>
      <c r="B349" s="27" t="s">
        <v>136</v>
      </c>
      <c r="C349" s="38">
        <v>341.46</v>
      </c>
      <c r="D349" s="38">
        <v>398.17</v>
      </c>
      <c r="E349" s="28"/>
      <c r="F349" s="38"/>
    </row>
    <row r="350" spans="1:6" ht="15">
      <c r="A350" s="20">
        <v>32</v>
      </c>
      <c r="B350" s="21" t="s">
        <v>137</v>
      </c>
      <c r="C350" s="22">
        <f>C353</f>
        <v>306.09000000000003</v>
      </c>
      <c r="D350" s="22">
        <f>D353+D357</f>
        <v>0</v>
      </c>
      <c r="E350" s="22">
        <f>E353+E357</f>
        <v>0</v>
      </c>
      <c r="F350" s="22">
        <f>F351+F353+F356</f>
        <v>1111.3500000000001</v>
      </c>
    </row>
    <row r="351" spans="1:6" ht="15">
      <c r="A351" s="100" t="s">
        <v>147</v>
      </c>
      <c r="B351" s="24" t="s">
        <v>148</v>
      </c>
      <c r="C351" s="95"/>
      <c r="D351" s="95"/>
      <c r="E351" s="95"/>
      <c r="F351" s="95">
        <f aca="true" t="shared" si="7" ref="F351:F356">F352</f>
        <v>1045.13</v>
      </c>
    </row>
    <row r="352" spans="1:6" ht="15">
      <c r="A352" s="102" t="s">
        <v>157</v>
      </c>
      <c r="B352" s="103" t="s">
        <v>343</v>
      </c>
      <c r="C352" s="96"/>
      <c r="D352" s="96"/>
      <c r="E352" s="96"/>
      <c r="F352" s="96">
        <v>1045.13</v>
      </c>
    </row>
    <row r="353" spans="1:6" ht="15">
      <c r="A353" s="23" t="s">
        <v>161</v>
      </c>
      <c r="B353" s="24" t="s">
        <v>162</v>
      </c>
      <c r="C353" s="25">
        <f>C354+C355</f>
        <v>306.09000000000003</v>
      </c>
      <c r="D353" s="25">
        <f>D354+D355</f>
        <v>0</v>
      </c>
      <c r="E353" s="110">
        <f>E354</f>
        <v>0</v>
      </c>
      <c r="F353" s="25">
        <f t="shared" si="7"/>
        <v>0</v>
      </c>
    </row>
    <row r="354" spans="1:6" ht="15">
      <c r="A354" s="36" t="s">
        <v>253</v>
      </c>
      <c r="B354" s="27" t="s">
        <v>344</v>
      </c>
      <c r="C354" s="38">
        <v>199.08</v>
      </c>
      <c r="D354" s="38"/>
      <c r="E354" s="38"/>
      <c r="F354" s="38">
        <v>0</v>
      </c>
    </row>
    <row r="355" spans="1:6" ht="15">
      <c r="A355" s="36" t="s">
        <v>176</v>
      </c>
      <c r="B355" s="27" t="s">
        <v>177</v>
      </c>
      <c r="C355" s="38">
        <v>107.01</v>
      </c>
      <c r="D355" s="38">
        <v>0</v>
      </c>
      <c r="E355" s="28"/>
      <c r="F355" s="38"/>
    </row>
    <row r="356" spans="1:6" ht="15">
      <c r="A356" s="36" t="s">
        <v>254</v>
      </c>
      <c r="B356" s="24" t="s">
        <v>179</v>
      </c>
      <c r="C356" s="38"/>
      <c r="D356" s="25"/>
      <c r="E356" s="34"/>
      <c r="F356" s="25">
        <f t="shared" si="7"/>
        <v>66.22</v>
      </c>
    </row>
    <row r="357" spans="1:6" ht="15">
      <c r="A357" s="36" t="s">
        <v>256</v>
      </c>
      <c r="B357" s="27" t="s">
        <v>183</v>
      </c>
      <c r="C357" s="38">
        <v>0</v>
      </c>
      <c r="D357" s="38">
        <v>0</v>
      </c>
      <c r="E357" s="28"/>
      <c r="F357" s="38">
        <v>66.22</v>
      </c>
    </row>
    <row r="358" spans="1:6" ht="15">
      <c r="A358" s="59">
        <v>4</v>
      </c>
      <c r="B358" s="60" t="s">
        <v>209</v>
      </c>
      <c r="C358" s="61">
        <f aca="true" t="shared" si="8" ref="C358:F359">C359</f>
        <v>0</v>
      </c>
      <c r="D358" s="61">
        <f t="shared" si="8"/>
        <v>0</v>
      </c>
      <c r="E358" s="61">
        <f t="shared" si="8"/>
        <v>2200</v>
      </c>
      <c r="F358" s="61">
        <f t="shared" si="8"/>
        <v>1088.65</v>
      </c>
    </row>
    <row r="359" spans="1:6" ht="18" customHeight="1">
      <c r="A359" s="20" t="s">
        <v>345</v>
      </c>
      <c r="B359" s="62" t="s">
        <v>232</v>
      </c>
      <c r="C359" s="22">
        <f t="shared" si="8"/>
        <v>0</v>
      </c>
      <c r="D359" s="22">
        <f t="shared" si="8"/>
        <v>0</v>
      </c>
      <c r="E359" s="22">
        <f t="shared" si="8"/>
        <v>2200</v>
      </c>
      <c r="F359" s="22">
        <f t="shared" si="8"/>
        <v>1088.65</v>
      </c>
    </row>
    <row r="360" spans="1:6" ht="15" customHeight="1">
      <c r="A360" s="114">
        <v>422</v>
      </c>
      <c r="B360" s="115" t="s">
        <v>219</v>
      </c>
      <c r="C360" s="116">
        <f>C361</f>
        <v>0</v>
      </c>
      <c r="D360" s="116">
        <f>D361</f>
        <v>0</v>
      </c>
      <c r="E360" s="116">
        <f>E361+E362</f>
        <v>2200</v>
      </c>
      <c r="F360" s="116">
        <f>F361+F362</f>
        <v>1088.65</v>
      </c>
    </row>
    <row r="361" spans="1:6" ht="16.5" customHeight="1">
      <c r="A361" s="117">
        <v>4221</v>
      </c>
      <c r="B361" s="118" t="s">
        <v>221</v>
      </c>
      <c r="C361" s="119">
        <v>0</v>
      </c>
      <c r="D361" s="119">
        <v>0</v>
      </c>
      <c r="E361" s="119">
        <v>988.63</v>
      </c>
      <c r="F361" s="119">
        <v>565.27</v>
      </c>
    </row>
    <row r="362" spans="1:6" ht="14.25" customHeight="1">
      <c r="A362" s="117">
        <v>4224</v>
      </c>
      <c r="B362" s="118" t="s">
        <v>225</v>
      </c>
      <c r="C362" s="119"/>
      <c r="D362" s="120"/>
      <c r="E362" s="120">
        <v>1211.37</v>
      </c>
      <c r="F362" s="121">
        <v>523.38</v>
      </c>
    </row>
    <row r="363" spans="1:6" ht="36" customHeight="1">
      <c r="A363" s="105" t="s">
        <v>392</v>
      </c>
      <c r="B363" s="106" t="s">
        <v>437</v>
      </c>
      <c r="C363" s="13">
        <f>C364+C375+C381</f>
        <v>53073.398</v>
      </c>
      <c r="D363" s="13">
        <f>D364+D398</f>
        <v>0</v>
      </c>
      <c r="E363" s="13">
        <f>E364+E398</f>
        <v>0</v>
      </c>
      <c r="F363" s="13">
        <f>F364+F398</f>
        <v>0</v>
      </c>
    </row>
    <row r="364" spans="1:6" ht="19.5" customHeight="1">
      <c r="A364" s="78">
        <v>52</v>
      </c>
      <c r="B364" s="79" t="s">
        <v>70</v>
      </c>
      <c r="C364" s="80">
        <f aca="true" t="shared" si="9" ref="C364:F365">C365</f>
        <v>47847.03</v>
      </c>
      <c r="D364" s="80">
        <f t="shared" si="9"/>
        <v>0</v>
      </c>
      <c r="E364" s="80">
        <f t="shared" si="9"/>
        <v>0</v>
      </c>
      <c r="F364" s="80">
        <f t="shared" si="9"/>
        <v>0</v>
      </c>
    </row>
    <row r="365" spans="1:6" ht="15">
      <c r="A365" s="99" t="s">
        <v>121</v>
      </c>
      <c r="B365" s="107" t="s">
        <v>122</v>
      </c>
      <c r="C365" s="61">
        <f t="shared" si="9"/>
        <v>47847.03</v>
      </c>
      <c r="D365" s="61">
        <f t="shared" si="9"/>
        <v>0</v>
      </c>
      <c r="E365" s="61">
        <f t="shared" si="9"/>
        <v>0</v>
      </c>
      <c r="F365" s="61">
        <f t="shared" si="9"/>
        <v>0</v>
      </c>
    </row>
    <row r="366" spans="1:6" ht="15">
      <c r="A366" s="20">
        <v>31</v>
      </c>
      <c r="B366" s="21" t="s">
        <v>123</v>
      </c>
      <c r="C366" s="22">
        <f>C367+C370+C372</f>
        <v>47847.03</v>
      </c>
      <c r="D366" s="22">
        <f>D367+D370+D372</f>
        <v>0</v>
      </c>
      <c r="E366" s="22">
        <f>E367+E370+E372</f>
        <v>0</v>
      </c>
      <c r="F366" s="22">
        <f>F367+F370+F372</f>
        <v>0</v>
      </c>
    </row>
    <row r="367" spans="1:6" ht="15">
      <c r="A367" s="23">
        <v>311</v>
      </c>
      <c r="B367" s="24" t="s">
        <v>124</v>
      </c>
      <c r="C367" s="25">
        <f>C368+C369</f>
        <v>34924.05</v>
      </c>
      <c r="D367" s="25">
        <f>D368+D369</f>
        <v>0</v>
      </c>
      <c r="E367" s="25">
        <f>E368+E369</f>
        <v>0</v>
      </c>
      <c r="F367" s="25">
        <f>F368+F369</f>
        <v>0</v>
      </c>
    </row>
    <row r="368" spans="1:6" ht="15.75">
      <c r="A368" s="26">
        <v>3111</v>
      </c>
      <c r="B368" s="27" t="s">
        <v>125</v>
      </c>
      <c r="C368" s="38">
        <v>0</v>
      </c>
      <c r="D368" s="108">
        <v>0</v>
      </c>
      <c r="E368" s="28">
        <v>0</v>
      </c>
      <c r="F368" s="38"/>
    </row>
    <row r="369" spans="1:6" ht="15.75">
      <c r="A369" s="26" t="s">
        <v>130</v>
      </c>
      <c r="B369" s="27" t="s">
        <v>246</v>
      </c>
      <c r="C369" s="38">
        <v>34924.05</v>
      </c>
      <c r="D369" s="108"/>
      <c r="E369" s="38"/>
      <c r="F369" s="38">
        <v>0</v>
      </c>
    </row>
    <row r="370" spans="1:6" ht="15">
      <c r="A370" s="23" t="s">
        <v>132</v>
      </c>
      <c r="B370" s="24" t="s">
        <v>133</v>
      </c>
      <c r="C370" s="25">
        <f>C371</f>
        <v>0</v>
      </c>
      <c r="D370" s="25">
        <f>D371</f>
        <v>0</v>
      </c>
      <c r="E370" s="25">
        <f>E371</f>
        <v>0</v>
      </c>
      <c r="F370" s="25">
        <f>F371</f>
        <v>0</v>
      </c>
    </row>
    <row r="371" spans="1:6" ht="15.75">
      <c r="A371" s="26" t="s">
        <v>134</v>
      </c>
      <c r="B371" s="27" t="s">
        <v>133</v>
      </c>
      <c r="C371" s="38"/>
      <c r="D371" s="108"/>
      <c r="E371" s="28">
        <v>0</v>
      </c>
      <c r="F371" s="38"/>
    </row>
    <row r="372" spans="1:6" ht="15">
      <c r="A372" s="33">
        <v>313</v>
      </c>
      <c r="B372" s="24" t="s">
        <v>135</v>
      </c>
      <c r="C372" s="25">
        <f>C373+C374</f>
        <v>12922.98</v>
      </c>
      <c r="D372" s="25">
        <f>D373+D374</f>
        <v>0</v>
      </c>
      <c r="E372" s="25">
        <f>E373+E374</f>
        <v>0</v>
      </c>
      <c r="F372" s="25">
        <f>F373+F374</f>
        <v>0</v>
      </c>
    </row>
    <row r="373" spans="1:6" ht="15.75">
      <c r="A373" s="36" t="s">
        <v>260</v>
      </c>
      <c r="B373" s="27" t="s">
        <v>261</v>
      </c>
      <c r="C373" s="38">
        <v>6984.81</v>
      </c>
      <c r="D373" s="108">
        <v>0</v>
      </c>
      <c r="E373" s="38"/>
      <c r="F373" s="38"/>
    </row>
    <row r="374" spans="1:6" ht="15.75">
      <c r="A374" s="36">
        <v>3132</v>
      </c>
      <c r="B374" s="27" t="s">
        <v>136</v>
      </c>
      <c r="C374" s="38">
        <v>5938.17</v>
      </c>
      <c r="D374" s="108">
        <v>0</v>
      </c>
      <c r="E374" s="28">
        <v>0</v>
      </c>
      <c r="F374" s="38"/>
    </row>
    <row r="375" spans="1:6" ht="20.25" customHeight="1">
      <c r="A375" s="78" t="s">
        <v>96</v>
      </c>
      <c r="B375" s="79" t="s">
        <v>245</v>
      </c>
      <c r="C375" s="80">
        <f>C376</f>
        <v>4585.570000000001</v>
      </c>
      <c r="D375" s="80">
        <f>D376</f>
        <v>0</v>
      </c>
      <c r="E375" s="80">
        <f>E376</f>
        <v>0</v>
      </c>
      <c r="F375" s="80">
        <f>F376</f>
        <v>0</v>
      </c>
    </row>
    <row r="376" spans="1:6" ht="15">
      <c r="A376" s="20">
        <v>32</v>
      </c>
      <c r="B376" s="21" t="s">
        <v>137</v>
      </c>
      <c r="C376" s="22">
        <f>C377+C379</f>
        <v>4585.570000000001</v>
      </c>
      <c r="D376" s="22">
        <f>D377+D379</f>
        <v>0</v>
      </c>
      <c r="E376" s="22">
        <f>E377+E379</f>
        <v>0</v>
      </c>
      <c r="F376" s="22">
        <f>F377</f>
        <v>0</v>
      </c>
    </row>
    <row r="377" spans="1:6" ht="15.75">
      <c r="A377" s="23" t="s">
        <v>147</v>
      </c>
      <c r="B377" s="24" t="s">
        <v>148</v>
      </c>
      <c r="C377" s="25">
        <f>C378</f>
        <v>4479.39</v>
      </c>
      <c r="D377" s="113"/>
      <c r="E377" s="34"/>
      <c r="F377" s="25">
        <f>F378</f>
        <v>0</v>
      </c>
    </row>
    <row r="378" spans="1:6" ht="15.75">
      <c r="A378" s="26" t="s">
        <v>151</v>
      </c>
      <c r="B378" s="27" t="s">
        <v>152</v>
      </c>
      <c r="C378" s="38">
        <v>4479.39</v>
      </c>
      <c r="D378" s="108"/>
      <c r="E378" s="28"/>
      <c r="F378" s="38">
        <v>0</v>
      </c>
    </row>
    <row r="379" spans="1:6" ht="15.75">
      <c r="A379" s="23" t="s">
        <v>161</v>
      </c>
      <c r="B379" s="24" t="s">
        <v>162</v>
      </c>
      <c r="C379" s="25">
        <f>C380</f>
        <v>106.18</v>
      </c>
      <c r="D379" s="113"/>
      <c r="E379" s="34"/>
      <c r="F379" s="25"/>
    </row>
    <row r="380" spans="1:6" ht="17.25" customHeight="1">
      <c r="A380" s="26" t="s">
        <v>163</v>
      </c>
      <c r="B380" s="40" t="s">
        <v>164</v>
      </c>
      <c r="C380" s="38">
        <v>106.18</v>
      </c>
      <c r="D380" s="108"/>
      <c r="E380" s="28"/>
      <c r="F380" s="38"/>
    </row>
    <row r="381" spans="1:6" ht="19.5" customHeight="1">
      <c r="A381" s="14">
        <v>43</v>
      </c>
      <c r="B381" s="15" t="s">
        <v>86</v>
      </c>
      <c r="C381" s="16">
        <f>C382+C448</f>
        <v>640.798</v>
      </c>
      <c r="D381" s="16">
        <f>D382+D448</f>
        <v>0</v>
      </c>
      <c r="E381" s="16">
        <f>E382+E448</f>
        <v>0</v>
      </c>
      <c r="F381" s="16">
        <f>F382+F448</f>
        <v>0</v>
      </c>
    </row>
    <row r="382" spans="1:6" ht="15">
      <c r="A382" s="20" t="s">
        <v>438</v>
      </c>
      <c r="B382" s="21" t="s">
        <v>326</v>
      </c>
      <c r="C382" s="22">
        <f>C383+C388+C392</f>
        <v>640.798</v>
      </c>
      <c r="D382" s="22">
        <f>D383</f>
        <v>0</v>
      </c>
      <c r="E382" s="22">
        <f>E383+E388</f>
        <v>0</v>
      </c>
      <c r="F382" s="22">
        <f>F383+F386</f>
        <v>0</v>
      </c>
    </row>
    <row r="383" spans="1:6" ht="15">
      <c r="A383" s="23" t="s">
        <v>439</v>
      </c>
      <c r="B383" s="56" t="s">
        <v>440</v>
      </c>
      <c r="C383" s="25">
        <f>C384+C385+C386+C387</f>
        <v>640.798</v>
      </c>
      <c r="D383" s="25">
        <f>D384+D385+D386</f>
        <v>0</v>
      </c>
      <c r="E383" s="25">
        <f>E384+E385</f>
        <v>0</v>
      </c>
      <c r="F383" s="25">
        <f>F384+F385</f>
        <v>0</v>
      </c>
    </row>
    <row r="384" spans="1:6" ht="15">
      <c r="A384" s="26" t="s">
        <v>441</v>
      </c>
      <c r="B384" s="27" t="s">
        <v>327</v>
      </c>
      <c r="C384" s="38">
        <v>640.798</v>
      </c>
      <c r="D384" s="38">
        <v>0</v>
      </c>
      <c r="E384" s="38"/>
      <c r="F384" s="37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Slavić</dc:creator>
  <cp:keywords/>
  <dc:description/>
  <cp:lastModifiedBy>Goran Pekić</cp:lastModifiedBy>
  <dcterms:created xsi:type="dcterms:W3CDTF">2024-01-24T11:20:20Z</dcterms:created>
  <dcterms:modified xsi:type="dcterms:W3CDTF">2024-04-03T10:44:24Z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10200AC67A96480EB43C12364FC19FCD_13</vt:lpwstr>
  </property>
  <property fmtid="{D5CDD505-2E9C-101B-9397-08002B2CF9AE}" pid="3" name="KSOProductBuildVer">
    <vt:lpwstr>1033-12.2.0.13489</vt:lpwstr>
  </property>
</Properties>
</file>